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00" yWindow="65136" windowWidth="20660" windowHeight="14600" tabRatio="470" activeTab="2"/>
  </bookViews>
  <sheets>
    <sheet name="March 06" sheetId="1" r:id="rId1"/>
    <sheet name="July 06" sheetId="2" r:id="rId2"/>
    <sheet name="Feb 07" sheetId="3" r:id="rId3"/>
    <sheet name="Range Test 7-15-06" sheetId="4" r:id="rId4"/>
  </sheets>
  <definedNames>
    <definedName name="_xlnm.Print_Area" localSheetId="2">'Feb 07'!$A$1:$K$41</definedName>
    <definedName name="_xlnm.Print_Area" localSheetId="1">'July 06'!$A$1:$L$14</definedName>
    <definedName name="_xlnm.Print_Area" localSheetId="0">'March 06'!$A$1:$N$24</definedName>
    <definedName name="_xlnm.Print_Area" localSheetId="3">'Range Test 7-15-06'!$A$1:$C$14</definedName>
  </definedNames>
  <calcPr fullCalcOnLoad="1"/>
</workbook>
</file>

<file path=xl/sharedStrings.xml><?xml version="1.0" encoding="utf-8"?>
<sst xmlns="http://schemas.openxmlformats.org/spreadsheetml/2006/main" count="234" uniqueCount="78">
  <si>
    <t>Rav4 EV Data</t>
  </si>
  <si>
    <t>Date:</t>
  </si>
  <si>
    <t>Start Time:</t>
  </si>
  <si>
    <t>End Time:</t>
  </si>
  <si>
    <t>Start SOC(%):</t>
  </si>
  <si>
    <t>End SOC (%):</t>
  </si>
  <si>
    <t>End Energy (whrs):</t>
  </si>
  <si>
    <t>Start Energy (whrs):</t>
  </si>
  <si>
    <t>Total Miles:</t>
  </si>
  <si>
    <t>Average MPH:</t>
  </si>
  <si>
    <t>Total Time (min):</t>
  </si>
  <si>
    <t>Charge Used (%):</t>
  </si>
  <si>
    <t>Energy (whrs):</t>
  </si>
  <si>
    <t>whrs/mile:</t>
  </si>
  <si>
    <t>Start Miles (trip):</t>
  </si>
  <si>
    <t>End Miles (trip):</t>
  </si>
  <si>
    <t>Pack Capacity (kWh):</t>
  </si>
  <si>
    <t>Work</t>
  </si>
  <si>
    <t>Home</t>
  </si>
  <si>
    <t>Round Trip</t>
  </si>
  <si>
    <t>Destination:</t>
  </si>
  <si>
    <t>Heater was used on the whole drive (to and from)</t>
  </si>
  <si>
    <t>Hospital</t>
  </si>
  <si>
    <t>Heater on to work</t>
  </si>
  <si>
    <t>Total</t>
  </si>
  <si>
    <t>Heater on to home</t>
  </si>
  <si>
    <t>Miles/Charge</t>
  </si>
  <si>
    <t>Start Regen</t>
  </si>
  <si>
    <t>End Regen</t>
  </si>
  <si>
    <t>Start Energy</t>
  </si>
  <si>
    <t>End Energy</t>
  </si>
  <si>
    <t>% Regen</t>
  </si>
  <si>
    <t>80,000 miles</t>
  </si>
  <si>
    <t>89,000 miles</t>
  </si>
  <si>
    <t>Church</t>
  </si>
  <si>
    <t>Garden</t>
  </si>
  <si>
    <t>Miles/Charge:</t>
  </si>
  <si>
    <t>Best</t>
  </si>
  <si>
    <t>Range Test 7-15-06</t>
  </si>
  <si>
    <t>Other Data</t>
  </si>
  <si>
    <t>Temps</t>
  </si>
  <si>
    <t>TA</t>
  </si>
  <si>
    <t>T1</t>
  </si>
  <si>
    <t>T2</t>
  </si>
  <si>
    <t>T3</t>
  </si>
  <si>
    <t>Min</t>
  </si>
  <si>
    <t>Max</t>
  </si>
  <si>
    <t>Avg</t>
  </si>
  <si>
    <t>Start</t>
  </si>
  <si>
    <t>SOC 0%</t>
  </si>
  <si>
    <t>End</t>
  </si>
  <si>
    <t>Calc</t>
  </si>
  <si>
    <t>Actual</t>
  </si>
  <si>
    <t>Warnings</t>
  </si>
  <si>
    <t>SOC%</t>
  </si>
  <si>
    <t>Miles</t>
  </si>
  <si>
    <t>Light</t>
  </si>
  <si>
    <t>Blink</t>
  </si>
  <si>
    <t>Turtle</t>
  </si>
  <si>
    <t>Battery Voltages</t>
  </si>
  <si>
    <t>Spread</t>
  </si>
  <si>
    <t>Calc Range</t>
  </si>
  <si>
    <t>Checks</t>
  </si>
  <si>
    <t>Quarter</t>
  </si>
  <si>
    <t>Half</t>
  </si>
  <si>
    <t>One-Third</t>
  </si>
  <si>
    <t>Two-Thirds</t>
  </si>
  <si>
    <t>Three-Qtr</t>
  </si>
  <si>
    <t>100 Miles</t>
  </si>
  <si>
    <t>Average</t>
  </si>
  <si>
    <t>Start Miles</t>
  </si>
  <si>
    <t>End Miles</t>
  </si>
  <si>
    <t>100 to 0%</t>
  </si>
  <si>
    <t>After 0%</t>
  </si>
  <si>
    <t>Full Trip</t>
  </si>
  <si>
    <t>101,000 miles</t>
  </si>
  <si>
    <t>Very slow drive for first half, then 65+ on the way home.</t>
  </si>
  <si>
    <t>Steady speed all the way home.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</si>
</sst>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0"/>
    <numFmt numFmtId="168" formatCode="0.0%"/>
    <numFmt numFmtId="169" formatCode="0.000000"/>
    <numFmt numFmtId="170" formatCode="m/d/yyyy"/>
  </numFmts>
  <fonts count="14">
    <font>
      <sz val="10"/>
      <name val="Verdana"/>
      <family val="0"/>
    </font>
    <font>
      <b/>
      <sz val="10"/>
      <name val="Verdana"/>
      <family val="0"/>
    </font>
    <font>
      <i/>
      <sz val="10"/>
      <name val="Verdana"/>
      <family val="0"/>
    </font>
    <font>
      <b/>
      <i/>
      <sz val="10"/>
      <name val="Verdana"/>
      <family val="0"/>
    </font>
    <font>
      <b/>
      <sz val="12"/>
      <name val="Verdana"/>
      <family val="0"/>
    </font>
    <font>
      <sz val="12"/>
      <name val="Verdana"/>
      <family val="0"/>
    </font>
    <font>
      <sz val="12"/>
      <color indexed="12"/>
      <name val="Verdana"/>
      <family val="0"/>
    </font>
    <font>
      <b/>
      <sz val="18"/>
      <name val="Verdana"/>
      <family val="0"/>
    </font>
    <font>
      <u val="single"/>
      <sz val="10"/>
      <color indexed="12"/>
      <name val="Verdana"/>
      <family val="0"/>
    </font>
    <font>
      <u val="single"/>
      <sz val="10"/>
      <color indexed="36"/>
      <name val="Verdana"/>
      <family val="0"/>
    </font>
    <font>
      <sz val="14"/>
      <name val="Verdana"/>
      <family val="0"/>
    </font>
    <font>
      <b/>
      <sz val="14"/>
      <name val="Verdana"/>
      <family val="0"/>
    </font>
    <font>
      <sz val="8"/>
      <name val="Verdana"/>
      <family val="0"/>
    </font>
    <font>
      <sz val="12"/>
      <color indexed="10"/>
      <name val="Verdana"/>
      <family val="0"/>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40">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n"/>
      <right>
        <color indexed="63"/>
      </right>
      <top style="medium"/>
      <bottom>
        <color indexed="63"/>
      </bottom>
    </border>
    <border>
      <left style="thin"/>
      <right style="medium"/>
      <top>
        <color indexed="63"/>
      </top>
      <bottom style="medium"/>
    </border>
    <border>
      <left style="thin"/>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5" fillId="0" borderId="0" xfId="0" applyFont="1" applyAlignment="1">
      <alignment/>
    </xf>
    <xf numFmtId="0" fontId="5" fillId="0" borderId="0" xfId="0" applyFont="1" applyFill="1" applyAlignment="1">
      <alignment/>
    </xf>
    <xf numFmtId="0" fontId="5" fillId="0" borderId="0" xfId="0" applyFont="1" applyAlignment="1">
      <alignment horizontal="right"/>
    </xf>
    <xf numFmtId="0" fontId="5" fillId="0" borderId="0" xfId="0" applyFont="1" applyBorder="1" applyAlignment="1">
      <alignment/>
    </xf>
    <xf numFmtId="0" fontId="6" fillId="0" borderId="0" xfId="0" applyFont="1" applyBorder="1" applyAlignment="1">
      <alignment/>
    </xf>
    <xf numFmtId="165" fontId="6" fillId="0" borderId="0" xfId="0" applyNumberFormat="1" applyFont="1" applyBorder="1" applyAlignment="1">
      <alignment/>
    </xf>
    <xf numFmtId="0" fontId="6" fillId="2" borderId="1" xfId="0" applyFont="1" applyFill="1" applyBorder="1" applyAlignment="1">
      <alignment/>
    </xf>
    <xf numFmtId="20" fontId="6" fillId="2" borderId="1" xfId="0" applyNumberFormat="1" applyFont="1" applyFill="1" applyBorder="1" applyAlignment="1">
      <alignment/>
    </xf>
    <xf numFmtId="168" fontId="6" fillId="2" borderId="1" xfId="21" applyNumberFormat="1" applyFont="1" applyFill="1" applyBorder="1" applyAlignment="1">
      <alignment/>
    </xf>
    <xf numFmtId="0" fontId="5" fillId="3" borderId="0" xfId="0" applyFont="1" applyFill="1" applyBorder="1" applyAlignment="1">
      <alignment/>
    </xf>
    <xf numFmtId="166" fontId="5" fillId="3" borderId="2" xfId="0" applyNumberFormat="1" applyFont="1" applyFill="1" applyBorder="1" applyAlignment="1">
      <alignment/>
    </xf>
    <xf numFmtId="0" fontId="5" fillId="3" borderId="3" xfId="0" applyFont="1" applyFill="1" applyBorder="1" applyAlignment="1">
      <alignment/>
    </xf>
    <xf numFmtId="0" fontId="5" fillId="0" borderId="4" xfId="0" applyFont="1" applyBorder="1" applyAlignment="1">
      <alignment/>
    </xf>
    <xf numFmtId="0" fontId="7"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4" fillId="2" borderId="10" xfId="0" applyFont="1" applyFill="1" applyBorder="1" applyAlignment="1">
      <alignment horizontal="right"/>
    </xf>
    <xf numFmtId="0" fontId="6" fillId="2" borderId="11" xfId="0" applyFont="1" applyFill="1" applyBorder="1" applyAlignment="1">
      <alignment/>
    </xf>
    <xf numFmtId="0" fontId="4" fillId="0" borderId="12" xfId="0" applyFont="1" applyBorder="1" applyAlignment="1">
      <alignment horizontal="right"/>
    </xf>
    <xf numFmtId="0" fontId="6" fillId="0" borderId="13" xfId="0" applyFont="1" applyBorder="1" applyAlignment="1">
      <alignment/>
    </xf>
    <xf numFmtId="0" fontId="5" fillId="0" borderId="13" xfId="0" applyFont="1" applyBorder="1" applyAlignment="1">
      <alignment/>
    </xf>
    <xf numFmtId="0" fontId="4" fillId="3" borderId="14" xfId="0" applyFont="1" applyFill="1" applyBorder="1" applyAlignment="1">
      <alignment horizontal="right"/>
    </xf>
    <xf numFmtId="166" fontId="5" fillId="3" borderId="15" xfId="0" applyNumberFormat="1" applyFont="1" applyFill="1" applyBorder="1" applyAlignment="1">
      <alignment/>
    </xf>
    <xf numFmtId="0" fontId="4" fillId="3" borderId="16" xfId="0" applyFont="1" applyFill="1" applyBorder="1" applyAlignment="1">
      <alignment horizontal="right"/>
    </xf>
    <xf numFmtId="0" fontId="5" fillId="3" borderId="13" xfId="0" applyFont="1" applyFill="1" applyBorder="1" applyAlignment="1">
      <alignment/>
    </xf>
    <xf numFmtId="0" fontId="4" fillId="3" borderId="17" xfId="0" applyFont="1" applyFill="1" applyBorder="1" applyAlignment="1">
      <alignment horizontal="right"/>
    </xf>
    <xf numFmtId="0" fontId="5" fillId="3" borderId="18" xfId="0" applyFont="1" applyFill="1" applyBorder="1" applyAlignment="1">
      <alignment/>
    </xf>
    <xf numFmtId="166" fontId="5" fillId="4" borderId="15" xfId="0" applyNumberFormat="1" applyFont="1" applyFill="1" applyBorder="1" applyAlignment="1">
      <alignment/>
    </xf>
    <xf numFmtId="168" fontId="5" fillId="4" borderId="13" xfId="21" applyNumberFormat="1" applyFont="1" applyFill="1" applyBorder="1" applyAlignment="1">
      <alignment/>
    </xf>
    <xf numFmtId="166" fontId="5" fillId="4" borderId="13" xfId="0" applyNumberFormat="1" applyFont="1" applyFill="1" applyBorder="1" applyAlignment="1">
      <alignment/>
    </xf>
    <xf numFmtId="166" fontId="5" fillId="4" borderId="19" xfId="0" applyNumberFormat="1" applyFont="1" applyFill="1" applyBorder="1" applyAlignment="1">
      <alignment/>
    </xf>
    <xf numFmtId="16" fontId="6" fillId="2" borderId="1" xfId="0" applyNumberFormat="1" applyFont="1" applyFill="1" applyBorder="1" applyAlignment="1">
      <alignment/>
    </xf>
    <xf numFmtId="166" fontId="5" fillId="4" borderId="7" xfId="0" applyNumberFormat="1" applyFont="1" applyFill="1" applyBorder="1" applyAlignment="1">
      <alignment/>
    </xf>
    <xf numFmtId="20" fontId="6" fillId="2" borderId="11" xfId="0" applyNumberFormat="1" applyFont="1" applyFill="1" applyBorder="1" applyAlignment="1">
      <alignment/>
    </xf>
    <xf numFmtId="168" fontId="6" fillId="2" borderId="11" xfId="21" applyNumberFormat="1" applyFont="1" applyFill="1" applyBorder="1" applyAlignment="1">
      <alignment/>
    </xf>
    <xf numFmtId="0" fontId="5" fillId="0" borderId="12" xfId="0" applyFont="1" applyBorder="1" applyAlignment="1">
      <alignment/>
    </xf>
    <xf numFmtId="166" fontId="6" fillId="2" borderId="1" xfId="0" applyNumberFormat="1" applyFont="1" applyFill="1" applyBorder="1" applyAlignment="1">
      <alignment/>
    </xf>
    <xf numFmtId="166" fontId="6" fillId="2" borderId="11" xfId="0" applyNumberFormat="1" applyFont="1" applyFill="1" applyBorder="1" applyAlignment="1">
      <alignment/>
    </xf>
    <xf numFmtId="0" fontId="4" fillId="4" borderId="20" xfId="0" applyFont="1" applyFill="1" applyBorder="1" applyAlignment="1">
      <alignment horizontal="right"/>
    </xf>
    <xf numFmtId="0" fontId="4" fillId="4" borderId="12" xfId="0" applyFont="1" applyFill="1" applyBorder="1" applyAlignment="1">
      <alignment horizontal="right"/>
    </xf>
    <xf numFmtId="0" fontId="4" fillId="4" borderId="21" xfId="0" applyFont="1" applyFill="1" applyBorder="1" applyAlignment="1">
      <alignment horizontal="right"/>
    </xf>
    <xf numFmtId="0" fontId="4" fillId="4" borderId="5" xfId="0" applyFont="1" applyFill="1" applyBorder="1" applyAlignment="1">
      <alignment horizontal="right"/>
    </xf>
    <xf numFmtId="0" fontId="4" fillId="0" borderId="22" xfId="0" applyFont="1" applyBorder="1" applyAlignment="1">
      <alignment horizontal="center"/>
    </xf>
    <xf numFmtId="0" fontId="4" fillId="0" borderId="23" xfId="0" applyFont="1" applyBorder="1" applyAlignment="1">
      <alignment horizontal="center"/>
    </xf>
    <xf numFmtId="166" fontId="5" fillId="4" borderId="22" xfId="0" applyNumberFormat="1" applyFont="1" applyFill="1" applyBorder="1" applyAlignment="1">
      <alignment/>
    </xf>
    <xf numFmtId="166" fontId="5" fillId="4" borderId="23" xfId="0" applyNumberFormat="1" applyFont="1" applyFill="1" applyBorder="1" applyAlignment="1">
      <alignment/>
    </xf>
    <xf numFmtId="168" fontId="5" fillId="4" borderId="24" xfId="21" applyNumberFormat="1" applyFont="1" applyFill="1" applyBorder="1" applyAlignment="1">
      <alignment/>
    </xf>
    <xf numFmtId="168" fontId="5" fillId="4" borderId="25" xfId="21" applyNumberFormat="1" applyFont="1" applyFill="1" applyBorder="1" applyAlignment="1">
      <alignment/>
    </xf>
    <xf numFmtId="166" fontId="5" fillId="4" borderId="24" xfId="0" applyNumberFormat="1" applyFont="1" applyFill="1" applyBorder="1" applyAlignment="1">
      <alignment/>
    </xf>
    <xf numFmtId="166" fontId="5" fillId="4" borderId="25" xfId="0" applyNumberFormat="1" applyFont="1" applyFill="1" applyBorder="1" applyAlignment="1">
      <alignment/>
    </xf>
    <xf numFmtId="166" fontId="5" fillId="4" borderId="26" xfId="0" applyNumberFormat="1" applyFont="1" applyFill="1" applyBorder="1" applyAlignment="1">
      <alignment/>
    </xf>
    <xf numFmtId="166" fontId="5" fillId="4" borderId="27" xfId="0" applyNumberFormat="1" applyFont="1" applyFill="1" applyBorder="1" applyAlignment="1">
      <alignment/>
    </xf>
    <xf numFmtId="0" fontId="5" fillId="0" borderId="24" xfId="0" applyFont="1" applyBorder="1" applyAlignment="1">
      <alignment/>
    </xf>
    <xf numFmtId="0" fontId="4" fillId="0" borderId="25" xfId="0" applyFont="1" applyBorder="1" applyAlignment="1">
      <alignment horizontal="center"/>
    </xf>
    <xf numFmtId="166" fontId="5" fillId="4" borderId="28" xfId="0" applyNumberFormat="1" applyFont="1" applyFill="1" applyBorder="1" applyAlignment="1">
      <alignment/>
    </xf>
    <xf numFmtId="0" fontId="4" fillId="0" borderId="15"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166" fontId="5" fillId="4" borderId="2" xfId="0" applyNumberFormat="1" applyFont="1" applyFill="1" applyBorder="1" applyAlignment="1">
      <alignment/>
    </xf>
    <xf numFmtId="168" fontId="5" fillId="4" borderId="0" xfId="21" applyNumberFormat="1" applyFont="1" applyFill="1" applyBorder="1" applyAlignment="1">
      <alignment/>
    </xf>
    <xf numFmtId="166" fontId="5" fillId="4" borderId="0" xfId="0" applyNumberFormat="1" applyFont="1" applyFill="1" applyBorder="1" applyAlignment="1">
      <alignment/>
    </xf>
    <xf numFmtId="166" fontId="5" fillId="4" borderId="29" xfId="0" applyNumberFormat="1" applyFont="1" applyFill="1" applyBorder="1" applyAlignment="1">
      <alignment/>
    </xf>
    <xf numFmtId="0" fontId="4" fillId="0" borderId="0" xfId="0" applyFont="1" applyBorder="1" applyAlignment="1">
      <alignment horizontal="center"/>
    </xf>
    <xf numFmtId="166" fontId="5" fillId="4" borderId="6" xfId="0" applyNumberFormat="1" applyFont="1" applyFill="1" applyBorder="1" applyAlignment="1">
      <alignment/>
    </xf>
    <xf numFmtId="0" fontId="4" fillId="0" borderId="30" xfId="0" applyFont="1" applyBorder="1" applyAlignment="1">
      <alignment horizontal="center"/>
    </xf>
    <xf numFmtId="0" fontId="4" fillId="0" borderId="4" xfId="0" applyFont="1" applyBorder="1" applyAlignment="1">
      <alignment horizontal="center"/>
    </xf>
    <xf numFmtId="2" fontId="5" fillId="0" borderId="0" xfId="0" applyNumberFormat="1" applyFont="1" applyAlignment="1">
      <alignment/>
    </xf>
    <xf numFmtId="165" fontId="5" fillId="0" borderId="0" xfId="0" applyNumberFormat="1" applyFont="1" applyAlignment="1">
      <alignment/>
    </xf>
    <xf numFmtId="0" fontId="5" fillId="0" borderId="5" xfId="0" applyFont="1" applyBorder="1" applyAlignment="1">
      <alignment/>
    </xf>
    <xf numFmtId="0" fontId="4" fillId="0" borderId="7" xfId="0" applyFont="1" applyBorder="1" applyAlignment="1">
      <alignment horizontal="center"/>
    </xf>
    <xf numFmtId="16" fontId="6" fillId="2" borderId="11" xfId="0" applyNumberFormat="1" applyFont="1" applyFill="1" applyBorder="1" applyAlignment="1">
      <alignment/>
    </xf>
    <xf numFmtId="16" fontId="6" fillId="2" borderId="11" xfId="0" applyNumberFormat="1" applyFont="1" applyFill="1" applyBorder="1" applyAlignment="1">
      <alignment horizontal="center"/>
    </xf>
    <xf numFmtId="166" fontId="4" fillId="4" borderId="31" xfId="0" applyNumberFormat="1" applyFont="1" applyFill="1" applyBorder="1" applyAlignment="1">
      <alignment horizontal="center"/>
    </xf>
    <xf numFmtId="166" fontId="10" fillId="4" borderId="32" xfId="0" applyNumberFormat="1" applyFont="1" applyFill="1" applyBorder="1" applyAlignment="1">
      <alignment horizontal="center"/>
    </xf>
    <xf numFmtId="0" fontId="4" fillId="0" borderId="4" xfId="0" applyFont="1" applyBorder="1" applyAlignment="1">
      <alignment/>
    </xf>
    <xf numFmtId="166" fontId="5" fillId="0" borderId="24" xfId="0" applyNumberFormat="1" applyFont="1" applyBorder="1" applyAlignment="1">
      <alignment/>
    </xf>
    <xf numFmtId="166" fontId="4" fillId="4" borderId="33" xfId="0" applyNumberFormat="1" applyFont="1" applyFill="1" applyBorder="1" applyAlignment="1">
      <alignment horizontal="center"/>
    </xf>
    <xf numFmtId="166" fontId="10" fillId="4" borderId="19" xfId="0" applyNumberFormat="1" applyFont="1" applyFill="1" applyBorder="1" applyAlignment="1">
      <alignment horizontal="center"/>
    </xf>
    <xf numFmtId="1" fontId="5" fillId="0" borderId="0" xfId="0" applyNumberFormat="1" applyFont="1" applyAlignment="1">
      <alignment/>
    </xf>
    <xf numFmtId="168" fontId="5" fillId="0" borderId="0" xfId="21" applyNumberFormat="1" applyFont="1" applyAlignment="1">
      <alignment/>
    </xf>
    <xf numFmtId="166" fontId="5" fillId="5" borderId="6" xfId="0" applyNumberFormat="1" applyFont="1" applyFill="1" applyBorder="1" applyAlignment="1">
      <alignment horizontal="center" vertical="top" wrapText="1"/>
    </xf>
    <xf numFmtId="166" fontId="5" fillId="5" borderId="0" xfId="0" applyNumberFormat="1" applyFont="1" applyFill="1" applyBorder="1" applyAlignment="1">
      <alignment horizontal="center" vertical="top" wrapText="1"/>
    </xf>
    <xf numFmtId="166" fontId="5" fillId="5" borderId="29" xfId="0" applyNumberFormat="1" applyFont="1" applyFill="1" applyBorder="1" applyAlignment="1">
      <alignment horizontal="center" vertical="top" wrapText="1"/>
    </xf>
    <xf numFmtId="166" fontId="5" fillId="0" borderId="0" xfId="0" applyNumberFormat="1" applyFont="1" applyBorder="1" applyAlignment="1">
      <alignment/>
    </xf>
    <xf numFmtId="166" fontId="5" fillId="5" borderId="34" xfId="0" applyNumberFormat="1" applyFont="1" applyFill="1" applyBorder="1" applyAlignment="1">
      <alignment horizontal="center" vertical="top" wrapText="1"/>
    </xf>
    <xf numFmtId="166" fontId="5" fillId="5" borderId="24" xfId="0" applyNumberFormat="1" applyFont="1" applyFill="1" applyBorder="1" applyAlignment="1">
      <alignment horizontal="center" vertical="top" wrapText="1"/>
    </xf>
    <xf numFmtId="166" fontId="5" fillId="5" borderId="26" xfId="0" applyNumberFormat="1" applyFont="1" applyFill="1" applyBorder="1" applyAlignment="1">
      <alignment horizontal="center" vertical="top" wrapText="1"/>
    </xf>
    <xf numFmtId="166" fontId="4" fillId="4" borderId="35" xfId="0" applyNumberFormat="1" applyFont="1" applyFill="1" applyBorder="1" applyAlignment="1">
      <alignment horizontal="center"/>
    </xf>
    <xf numFmtId="168" fontId="5" fillId="4" borderId="36" xfId="21" applyNumberFormat="1" applyFont="1" applyFill="1" applyBorder="1" applyAlignment="1">
      <alignment/>
    </xf>
    <xf numFmtId="166" fontId="10" fillId="4" borderId="36" xfId="0" applyNumberFormat="1" applyFont="1" applyFill="1" applyBorder="1" applyAlignment="1">
      <alignment horizontal="center"/>
    </xf>
    <xf numFmtId="1" fontId="5" fillId="3" borderId="0" xfId="0" applyNumberFormat="1" applyFont="1" applyFill="1" applyAlignment="1">
      <alignment/>
    </xf>
    <xf numFmtId="0" fontId="5" fillId="3" borderId="0" xfId="0" applyFont="1" applyFill="1" applyAlignment="1">
      <alignment/>
    </xf>
    <xf numFmtId="168" fontId="5" fillId="3" borderId="0" xfId="21" applyNumberFormat="1" applyFont="1" applyFill="1" applyAlignment="1">
      <alignment/>
    </xf>
    <xf numFmtId="1" fontId="5" fillId="2" borderId="0" xfId="0" applyNumberFormat="1" applyFont="1" applyFill="1" applyAlignment="1">
      <alignment/>
    </xf>
    <xf numFmtId="0" fontId="5" fillId="2" borderId="0" xfId="0" applyFont="1" applyFill="1" applyAlignment="1">
      <alignment/>
    </xf>
    <xf numFmtId="168" fontId="5" fillId="2" borderId="0" xfId="21" applyNumberFormat="1" applyFont="1" applyFill="1" applyAlignment="1">
      <alignment/>
    </xf>
    <xf numFmtId="0" fontId="11" fillId="0" borderId="6" xfId="0" applyFont="1" applyBorder="1" applyAlignment="1">
      <alignment horizontal="left"/>
    </xf>
    <xf numFmtId="166" fontId="5"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Alignment="1">
      <alignment/>
    </xf>
    <xf numFmtId="0" fontId="5" fillId="0" borderId="0" xfId="0" applyNumberFormat="1" applyFont="1" applyAlignment="1">
      <alignment/>
    </xf>
    <xf numFmtId="16" fontId="5" fillId="0" borderId="0" xfId="0" applyNumberFormat="1" applyFont="1" applyAlignment="1">
      <alignment/>
    </xf>
    <xf numFmtId="168" fontId="5" fillId="0" borderId="0" xfId="0" applyNumberFormat="1" applyFont="1" applyAlignment="1">
      <alignment/>
    </xf>
    <xf numFmtId="168" fontId="5" fillId="0" borderId="0" xfId="21" applyNumberFormat="1" applyFont="1" applyFill="1" applyAlignment="1">
      <alignment/>
    </xf>
    <xf numFmtId="0" fontId="4" fillId="0" borderId="0" xfId="0" applyFont="1" applyAlignment="1">
      <alignment horizontal="right"/>
    </xf>
    <xf numFmtId="17" fontId="11" fillId="0" borderId="6" xfId="0" applyNumberFormat="1" applyFont="1" applyBorder="1" applyAlignment="1">
      <alignment horizontal="center"/>
    </xf>
    <xf numFmtId="1" fontId="13" fillId="3" borderId="0" xfId="0" applyNumberFormat="1" applyFont="1" applyFill="1" applyAlignment="1">
      <alignment/>
    </xf>
    <xf numFmtId="1" fontId="13" fillId="2" borderId="0" xfId="0" applyNumberFormat="1" applyFont="1" applyFill="1" applyAlignment="1">
      <alignment/>
    </xf>
    <xf numFmtId="2" fontId="5" fillId="4" borderId="19" xfId="0" applyNumberFormat="1" applyFont="1" applyFill="1" applyBorder="1" applyAlignment="1">
      <alignment/>
    </xf>
    <xf numFmtId="166" fontId="5" fillId="5" borderId="6" xfId="0" applyNumberFormat="1" applyFont="1" applyFill="1" applyBorder="1" applyAlignment="1">
      <alignment horizontal="center" vertical="top" wrapText="1"/>
    </xf>
    <xf numFmtId="166" fontId="5" fillId="5" borderId="0" xfId="0" applyNumberFormat="1" applyFont="1" applyFill="1" applyBorder="1" applyAlignment="1">
      <alignment horizontal="center" vertical="top" wrapText="1"/>
    </xf>
    <xf numFmtId="166" fontId="5" fillId="5" borderId="29" xfId="0" applyNumberFormat="1" applyFont="1" applyFill="1" applyBorder="1" applyAlignment="1">
      <alignment horizontal="center" vertical="top" wrapText="1"/>
    </xf>
    <xf numFmtId="166" fontId="5" fillId="5" borderId="34" xfId="0" applyNumberFormat="1" applyFont="1" applyFill="1" applyBorder="1" applyAlignment="1">
      <alignment horizontal="center" vertical="top" wrapText="1"/>
    </xf>
    <xf numFmtId="166" fontId="5" fillId="5" borderId="24" xfId="0" applyNumberFormat="1" applyFont="1" applyFill="1" applyBorder="1" applyAlignment="1">
      <alignment horizontal="center" vertical="top" wrapText="1"/>
    </xf>
    <xf numFmtId="166" fontId="5" fillId="5" borderId="26" xfId="0" applyNumberFormat="1" applyFont="1" applyFill="1" applyBorder="1" applyAlignment="1">
      <alignment horizontal="center" vertical="top" wrapText="1"/>
    </xf>
    <xf numFmtId="0" fontId="11" fillId="0" borderId="0" xfId="0" applyFont="1" applyAlignment="1">
      <alignment horizontal="center"/>
    </xf>
    <xf numFmtId="166" fontId="5" fillId="3" borderId="37" xfId="0" applyNumberFormat="1" applyFont="1" applyFill="1" applyBorder="1" applyAlignment="1">
      <alignment/>
    </xf>
    <xf numFmtId="166" fontId="5" fillId="3" borderId="38" xfId="0" applyNumberFormat="1" applyFont="1" applyFill="1" applyBorder="1" applyAlignment="1">
      <alignment/>
    </xf>
    <xf numFmtId="166" fontId="5" fillId="3" borderId="39"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5</xdr:row>
      <xdr:rowOff>133350</xdr:rowOff>
    </xdr:from>
    <xdr:to>
      <xdr:col>12</xdr:col>
      <xdr:colOff>742950</xdr:colOff>
      <xdr:row>35</xdr:row>
      <xdr:rowOff>76200</xdr:rowOff>
    </xdr:to>
    <xdr:sp>
      <xdr:nvSpPr>
        <xdr:cNvPr id="1" name="TextBox 1"/>
        <xdr:cNvSpPr txBox="1">
          <a:spLocks noChangeArrowheads="1"/>
        </xdr:cNvSpPr>
      </xdr:nvSpPr>
      <xdr:spPr>
        <a:xfrm>
          <a:off x="8972550" y="1171575"/>
          <a:ext cx="2924175" cy="619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
Range Test:</a:t>
          </a:r>
          <a:r>
            <a:rPr lang="en-US" cap="none" sz="1000" b="0" i="0" u="none" baseline="0">
              <a:latin typeface="Verdana"/>
              <a:ea typeface="Verdana"/>
              <a:cs typeface="Verdana"/>
            </a:rPr>
            <a:t>
Started at about 4:30am and drove up to the 210, over to the 15 and down to Baseline. Then decided on a route on Baseline from just west of Haven to just east of Sierra. Distance was about 15 miles round trip. Route was very level with a slight elevation increase from Haven to Sierra. Minimal lights along the way. Drove between 40-45 MPH all the way when not needing to stop for a light or traffic. Continued on this loop until hitting 0.0 SOC.
Ran with fan on low the whole trip and with headlights for the first 1.5 hours. Temps started to go up quickly once the sun came up. The battery fan came on low at about 50% SOC and T1 of 94° and then switched to high shortly thereafter and ran continuously through the end of the test.
At 0.8 SOC the turtle came on for the first time. Had to slow down to continue. Shortly after 0.0 SOC the turtle came on again and beeped and the car died. The MIN battery was at 7.0 volts. The MAX and AVG were over 10 at all times. 
I was about 3 miles from home and had to creep slowly at under 10 MPH to get home and keep the MIN above 8.0 on acceleration. The turtle came on and the car died about 3 or 4 times during that time.
Battery Voltages stayed within 0.1 volt until SOC was under 15%. Gradually increased to up to 0.8 volts when stopped (larger when accelerating and under 1.0% SOC).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A1">
      <pane xSplit="1" topLeftCell="B1" activePane="topRight" state="frozen"/>
      <selection pane="topLeft" activeCell="A2" sqref="A2"/>
      <selection pane="topRight" activeCell="O23" sqref="O23"/>
    </sheetView>
  </sheetViews>
  <sheetFormatPr defaultColWidth="11.00390625" defaultRowHeight="12.75"/>
  <cols>
    <col min="1" max="1" width="22.75390625" style="1" customWidth="1"/>
    <col min="2" max="14" width="11.125" style="1" customWidth="1"/>
    <col min="15" max="15" width="14.875" style="1" customWidth="1"/>
    <col min="16" max="16384" width="10.75390625" style="1" customWidth="1"/>
  </cols>
  <sheetData>
    <row r="1" spans="1:15" ht="22.5">
      <c r="A1" s="14" t="s">
        <v>0</v>
      </c>
      <c r="B1" s="109">
        <v>37315</v>
      </c>
      <c r="C1" s="15" t="s">
        <v>32</v>
      </c>
      <c r="D1" s="15"/>
      <c r="E1" s="15"/>
      <c r="F1" s="15"/>
      <c r="G1" s="15"/>
      <c r="H1" s="15"/>
      <c r="I1" s="15"/>
      <c r="J1" s="15"/>
      <c r="K1" s="15"/>
      <c r="L1" s="15"/>
      <c r="M1" s="15"/>
      <c r="N1" s="16"/>
      <c r="O1" s="16"/>
    </row>
    <row r="2" spans="1:15" ht="9.75" customHeight="1">
      <c r="A2" s="17"/>
      <c r="B2" s="77"/>
      <c r="C2" s="13"/>
      <c r="D2" s="13"/>
      <c r="E2" s="13"/>
      <c r="F2" s="13"/>
      <c r="G2" s="13"/>
      <c r="H2" s="13"/>
      <c r="I2" s="13"/>
      <c r="J2" s="13"/>
      <c r="K2" s="13"/>
      <c r="L2" s="13"/>
      <c r="M2" s="13"/>
      <c r="N2" s="18"/>
      <c r="O2" s="18"/>
    </row>
    <row r="3" spans="1:15" ht="24.75" customHeight="1">
      <c r="A3" s="19" t="s">
        <v>1</v>
      </c>
      <c r="B3" s="34">
        <v>37313</v>
      </c>
      <c r="C3" s="34">
        <v>37313</v>
      </c>
      <c r="D3" s="34">
        <v>37314</v>
      </c>
      <c r="E3" s="34">
        <v>37314</v>
      </c>
      <c r="F3" s="34">
        <v>37315</v>
      </c>
      <c r="G3" s="34">
        <v>37315</v>
      </c>
      <c r="H3" s="34">
        <v>37315</v>
      </c>
      <c r="I3" s="34">
        <v>37316</v>
      </c>
      <c r="J3" s="34">
        <v>37316</v>
      </c>
      <c r="K3" s="34">
        <v>37316</v>
      </c>
      <c r="L3" s="34">
        <v>37317</v>
      </c>
      <c r="M3" s="34">
        <v>37317</v>
      </c>
      <c r="N3" s="73">
        <v>37317</v>
      </c>
      <c r="O3" s="74" t="s">
        <v>24</v>
      </c>
    </row>
    <row r="4" spans="1:15" ht="24.75" customHeight="1">
      <c r="A4" s="19" t="s">
        <v>2</v>
      </c>
      <c r="B4" s="8">
        <v>0.29583333333333334</v>
      </c>
      <c r="C4" s="8">
        <v>0.3340277777777778</v>
      </c>
      <c r="D4" s="8">
        <v>0.29375</v>
      </c>
      <c r="E4" s="8">
        <v>0.37847222222222227</v>
      </c>
      <c r="F4" s="8">
        <v>0.23958333333333334</v>
      </c>
      <c r="G4" s="8">
        <v>0.06319444444444444</v>
      </c>
      <c r="H4" s="8">
        <v>0.35833333333333334</v>
      </c>
      <c r="I4" s="8">
        <v>0.25625</v>
      </c>
      <c r="J4" s="8">
        <v>0.26805555555555555</v>
      </c>
      <c r="K4" s="8">
        <v>0.34027777777777773</v>
      </c>
      <c r="L4" s="8">
        <v>0.2881944444444445</v>
      </c>
      <c r="M4" s="8">
        <v>0.09652777777777777</v>
      </c>
      <c r="N4" s="36">
        <v>0.24722222222222223</v>
      </c>
      <c r="O4" s="36"/>
    </row>
    <row r="5" spans="1:15" ht="24.75" customHeight="1">
      <c r="A5" s="19" t="s">
        <v>3</v>
      </c>
      <c r="B5" s="8">
        <v>0.3375</v>
      </c>
      <c r="C5" s="8">
        <v>0.3729166666666666</v>
      </c>
      <c r="D5" s="8">
        <v>0.33958333333333335</v>
      </c>
      <c r="E5" s="8">
        <v>0.41111111111111115</v>
      </c>
      <c r="F5" s="8">
        <v>0.27569444444444446</v>
      </c>
      <c r="G5" s="8">
        <v>0.08958333333333333</v>
      </c>
      <c r="H5" s="8">
        <v>0.3888888888888889</v>
      </c>
      <c r="I5" s="8">
        <v>0.2951388888888889</v>
      </c>
      <c r="J5" s="8">
        <v>0.2972222222222222</v>
      </c>
      <c r="K5" s="8">
        <v>0.37152777777777773</v>
      </c>
      <c r="L5" s="8">
        <v>0.3361111111111111</v>
      </c>
      <c r="M5" s="8">
        <v>0.1375</v>
      </c>
      <c r="N5" s="36">
        <v>0.28958333333333336</v>
      </c>
      <c r="O5" s="36"/>
    </row>
    <row r="6" spans="1:15" ht="9.75" customHeight="1">
      <c r="A6" s="21"/>
      <c r="B6" s="5"/>
      <c r="C6" s="6"/>
      <c r="D6" s="5"/>
      <c r="E6" s="5"/>
      <c r="F6" s="5"/>
      <c r="G6" s="5"/>
      <c r="H6" s="5"/>
      <c r="I6" s="5"/>
      <c r="J6" s="5"/>
      <c r="K6" s="5"/>
      <c r="L6" s="5"/>
      <c r="M6" s="5"/>
      <c r="N6" s="22"/>
      <c r="O6" s="22"/>
    </row>
    <row r="7" spans="1:15" ht="24.75" customHeight="1">
      <c r="A7" s="19" t="s">
        <v>14</v>
      </c>
      <c r="B7" s="39">
        <v>0</v>
      </c>
      <c r="C7" s="7">
        <v>44.5</v>
      </c>
      <c r="D7" s="39">
        <v>0</v>
      </c>
      <c r="E7" s="39">
        <v>45.2</v>
      </c>
      <c r="F7" s="39">
        <v>0</v>
      </c>
      <c r="G7" s="39">
        <v>45</v>
      </c>
      <c r="H7" s="39">
        <v>69.7</v>
      </c>
      <c r="I7" s="39">
        <v>0</v>
      </c>
      <c r="J7" s="39">
        <v>43.6</v>
      </c>
      <c r="K7" s="39">
        <v>68.5</v>
      </c>
      <c r="L7" s="39">
        <v>0</v>
      </c>
      <c r="M7" s="39">
        <v>43.6</v>
      </c>
      <c r="N7" s="40">
        <v>69.3</v>
      </c>
      <c r="O7" s="40"/>
    </row>
    <row r="8" spans="1:15" ht="24.75" customHeight="1">
      <c r="A8" s="19" t="s">
        <v>15</v>
      </c>
      <c r="B8" s="7">
        <v>43.6</v>
      </c>
      <c r="C8" s="7">
        <v>88.2</v>
      </c>
      <c r="D8" s="7">
        <v>43.6</v>
      </c>
      <c r="E8" s="7">
        <v>88.8</v>
      </c>
      <c r="F8" s="7">
        <v>43.6</v>
      </c>
      <c r="G8" s="7">
        <v>69.7</v>
      </c>
      <c r="H8" s="7">
        <v>107.2</v>
      </c>
      <c r="I8" s="7">
        <v>43.6</v>
      </c>
      <c r="J8" s="7">
        <v>68.5</v>
      </c>
      <c r="K8" s="7">
        <v>105.9</v>
      </c>
      <c r="L8" s="7">
        <v>43.6</v>
      </c>
      <c r="M8" s="7">
        <v>69.3</v>
      </c>
      <c r="N8" s="20">
        <v>106.8</v>
      </c>
      <c r="O8" s="20"/>
    </row>
    <row r="9" spans="1:15" ht="9.75" customHeight="1">
      <c r="A9" s="21"/>
      <c r="B9" s="5"/>
      <c r="C9" s="5"/>
      <c r="D9" s="5"/>
      <c r="E9" s="5"/>
      <c r="F9" s="5"/>
      <c r="G9" s="5"/>
      <c r="H9" s="5"/>
      <c r="I9" s="5"/>
      <c r="J9" s="5"/>
      <c r="K9" s="5"/>
      <c r="L9" s="5"/>
      <c r="M9" s="5"/>
      <c r="N9" s="22"/>
      <c r="O9" s="22"/>
    </row>
    <row r="10" spans="1:15" ht="24.75" customHeight="1">
      <c r="A10" s="19" t="s">
        <v>7</v>
      </c>
      <c r="B10" s="7">
        <v>155078</v>
      </c>
      <c r="C10" s="7">
        <v>163118</v>
      </c>
      <c r="D10" s="7">
        <v>175434</v>
      </c>
      <c r="E10" s="7">
        <v>184723</v>
      </c>
      <c r="F10" s="7">
        <v>198928</v>
      </c>
      <c r="G10" s="7">
        <v>209350</v>
      </c>
      <c r="H10" s="7">
        <v>215065</v>
      </c>
      <c r="I10" s="7">
        <v>225852</v>
      </c>
      <c r="J10" s="7">
        <v>236159</v>
      </c>
      <c r="K10" s="7">
        <v>241835</v>
      </c>
      <c r="L10" s="7">
        <v>252561</v>
      </c>
      <c r="M10" s="7">
        <v>260554</v>
      </c>
      <c r="N10" s="20">
        <v>265773</v>
      </c>
      <c r="O10" s="20"/>
    </row>
    <row r="11" spans="1:15" ht="24.75" customHeight="1">
      <c r="A11" s="19" t="s">
        <v>6</v>
      </c>
      <c r="B11" s="7">
        <v>163119</v>
      </c>
      <c r="C11" s="7">
        <v>175433</v>
      </c>
      <c r="D11" s="7">
        <v>184721</v>
      </c>
      <c r="E11" s="7">
        <v>198918</v>
      </c>
      <c r="F11" s="7">
        <v>209349</v>
      </c>
      <c r="G11" s="7">
        <v>215061</v>
      </c>
      <c r="H11" s="7">
        <v>225850</v>
      </c>
      <c r="I11" s="7">
        <v>236158</v>
      </c>
      <c r="J11" s="7">
        <v>241833</v>
      </c>
      <c r="K11" s="7">
        <v>252558</v>
      </c>
      <c r="L11" s="7">
        <v>260553</v>
      </c>
      <c r="M11" s="7">
        <v>265770</v>
      </c>
      <c r="N11" s="20">
        <v>276377</v>
      </c>
      <c r="O11" s="20"/>
    </row>
    <row r="12" spans="1:15" ht="9.75" customHeight="1">
      <c r="A12" s="21"/>
      <c r="B12" s="5"/>
      <c r="C12" s="5"/>
      <c r="D12" s="5"/>
      <c r="E12" s="5"/>
      <c r="F12" s="5"/>
      <c r="G12" s="5"/>
      <c r="H12" s="5"/>
      <c r="I12" s="5"/>
      <c r="J12" s="5"/>
      <c r="K12" s="5"/>
      <c r="L12" s="5"/>
      <c r="M12" s="5"/>
      <c r="N12" s="22"/>
      <c r="O12" s="22"/>
    </row>
    <row r="13" spans="1:15" ht="24.75" customHeight="1">
      <c r="A13" s="19" t="s">
        <v>4</v>
      </c>
      <c r="B13" s="9">
        <v>0.931</v>
      </c>
      <c r="C13" s="9">
        <v>0.831</v>
      </c>
      <c r="D13" s="9">
        <v>0.96</v>
      </c>
      <c r="E13" s="9">
        <v>0.79</v>
      </c>
      <c r="F13" s="9">
        <v>0.851</v>
      </c>
      <c r="G13" s="9">
        <v>0.694</v>
      </c>
      <c r="H13" s="9">
        <v>0.475</v>
      </c>
      <c r="I13" s="9">
        <v>0.98</v>
      </c>
      <c r="J13" s="9">
        <v>0.85</v>
      </c>
      <c r="K13" s="9">
        <v>0.629</v>
      </c>
      <c r="L13" s="9">
        <v>0.856</v>
      </c>
      <c r="M13" s="9">
        <v>1</v>
      </c>
      <c r="N13" s="37">
        <v>0.82</v>
      </c>
      <c r="O13" s="37"/>
    </row>
    <row r="14" spans="1:15" ht="24.75" customHeight="1">
      <c r="A14" s="19" t="s">
        <v>5</v>
      </c>
      <c r="B14" s="9">
        <v>0.62</v>
      </c>
      <c r="C14" s="9">
        <v>0.352</v>
      </c>
      <c r="D14" s="9">
        <v>0.604</v>
      </c>
      <c r="E14" s="9">
        <v>0.212</v>
      </c>
      <c r="F14" s="9">
        <v>0.435</v>
      </c>
      <c r="G14" s="9">
        <v>0.475</v>
      </c>
      <c r="H14" s="9">
        <v>0.017</v>
      </c>
      <c r="I14" s="9">
        <v>0.587</v>
      </c>
      <c r="J14" s="9">
        <v>0.629</v>
      </c>
      <c r="K14" s="9">
        <v>0.182</v>
      </c>
      <c r="L14" s="9">
        <v>0.544</v>
      </c>
      <c r="M14" s="9">
        <v>0.82</v>
      </c>
      <c r="N14" s="37">
        <v>0.392</v>
      </c>
      <c r="O14" s="37"/>
    </row>
    <row r="15" spans="1:15" ht="9.75" customHeight="1">
      <c r="A15" s="21"/>
      <c r="B15" s="4"/>
      <c r="C15" s="4"/>
      <c r="D15" s="4"/>
      <c r="E15" s="4"/>
      <c r="F15" s="4"/>
      <c r="G15" s="4"/>
      <c r="H15" s="4"/>
      <c r="I15" s="4"/>
      <c r="J15" s="4"/>
      <c r="K15" s="4"/>
      <c r="L15" s="4"/>
      <c r="M15" s="4"/>
      <c r="N15" s="23"/>
      <c r="O15" s="23"/>
    </row>
    <row r="16" spans="1:15" ht="24.75" customHeight="1">
      <c r="A16" s="24" t="s">
        <v>10</v>
      </c>
      <c r="B16" s="11">
        <f>((B5-B4)/0.04166666667)*60</f>
        <v>59.999999995200035</v>
      </c>
      <c r="C16" s="11">
        <f aca="true" t="shared" si="0" ref="C16:N16">((C5-C4)/0.04166666667)*60</f>
        <v>55.999999995519886</v>
      </c>
      <c r="D16" s="11">
        <f t="shared" si="0"/>
        <v>65.99999999472</v>
      </c>
      <c r="E16" s="11">
        <f t="shared" si="0"/>
        <v>46.99999999623999</v>
      </c>
      <c r="F16" s="11">
        <f t="shared" si="0"/>
        <v>51.999999995840014</v>
      </c>
      <c r="G16" s="11">
        <f>((G5-G4)/0.04166666667)*60</f>
        <v>37.99999999696001</v>
      </c>
      <c r="H16" s="11">
        <f t="shared" si="0"/>
        <v>43.99999999648001</v>
      </c>
      <c r="I16" s="11">
        <f t="shared" si="0"/>
        <v>55.99999999552004</v>
      </c>
      <c r="J16" s="11">
        <f>((J5-J4)/0.04166666667)*60</f>
        <v>41.999999996640014</v>
      </c>
      <c r="K16" s="11">
        <f t="shared" si="0"/>
        <v>44.9999999964</v>
      </c>
      <c r="L16" s="11">
        <f t="shared" si="0"/>
        <v>68.99999999447992</v>
      </c>
      <c r="M16" s="11">
        <f>((M5-M4)/0.04166666667)*60</f>
        <v>58.999999995280035</v>
      </c>
      <c r="N16" s="25">
        <f t="shared" si="0"/>
        <v>60.99999999512002</v>
      </c>
      <c r="O16" s="25">
        <f>SUM(B16:N16)</f>
        <v>694.9999999444</v>
      </c>
    </row>
    <row r="17" spans="1:15" ht="24.75" customHeight="1">
      <c r="A17" s="26" t="s">
        <v>8</v>
      </c>
      <c r="B17" s="10">
        <f>B8-B7</f>
        <v>43.6</v>
      </c>
      <c r="C17" s="10">
        <f aca="true" t="shared" si="1" ref="C17:N17">C8-C7</f>
        <v>43.7</v>
      </c>
      <c r="D17" s="10">
        <f t="shared" si="1"/>
        <v>43.6</v>
      </c>
      <c r="E17" s="10">
        <f t="shared" si="1"/>
        <v>43.599999999999994</v>
      </c>
      <c r="F17" s="10">
        <f t="shared" si="1"/>
        <v>43.6</v>
      </c>
      <c r="G17" s="10">
        <f>G8-G7</f>
        <v>24.700000000000003</v>
      </c>
      <c r="H17" s="10">
        <f t="shared" si="1"/>
        <v>37.5</v>
      </c>
      <c r="I17" s="10">
        <f t="shared" si="1"/>
        <v>43.6</v>
      </c>
      <c r="J17" s="10">
        <f>J8-J7</f>
        <v>24.9</v>
      </c>
      <c r="K17" s="10">
        <f t="shared" si="1"/>
        <v>37.400000000000006</v>
      </c>
      <c r="L17" s="10">
        <f t="shared" si="1"/>
        <v>43.6</v>
      </c>
      <c r="M17" s="10">
        <f>M8-M7</f>
        <v>25.699999999999996</v>
      </c>
      <c r="N17" s="27">
        <f t="shared" si="1"/>
        <v>37.5</v>
      </c>
      <c r="O17" s="27">
        <f>SUM(B17:N17)</f>
        <v>493.00000000000006</v>
      </c>
    </row>
    <row r="18" spans="1:15" ht="24.75" customHeight="1">
      <c r="A18" s="28" t="s">
        <v>12</v>
      </c>
      <c r="B18" s="12">
        <f>B11-B10</f>
        <v>8041</v>
      </c>
      <c r="C18" s="12">
        <f aca="true" t="shared" si="2" ref="C18:N18">C11-C10</f>
        <v>12315</v>
      </c>
      <c r="D18" s="12">
        <f t="shared" si="2"/>
        <v>9287</v>
      </c>
      <c r="E18" s="12">
        <f t="shared" si="2"/>
        <v>14195</v>
      </c>
      <c r="F18" s="10">
        <f t="shared" si="2"/>
        <v>10421</v>
      </c>
      <c r="G18" s="10">
        <f>G11-G10</f>
        <v>5711</v>
      </c>
      <c r="H18" s="10">
        <f t="shared" si="2"/>
        <v>10785</v>
      </c>
      <c r="I18" s="10">
        <f t="shared" si="2"/>
        <v>10306</v>
      </c>
      <c r="J18" s="12">
        <f>J11-J10</f>
        <v>5674</v>
      </c>
      <c r="K18" s="12">
        <f t="shared" si="2"/>
        <v>10723</v>
      </c>
      <c r="L18" s="10">
        <f t="shared" si="2"/>
        <v>7992</v>
      </c>
      <c r="M18" s="12">
        <f>M11-M10</f>
        <v>5216</v>
      </c>
      <c r="N18" s="29">
        <f t="shared" si="2"/>
        <v>10604</v>
      </c>
      <c r="O18" s="29">
        <f>SUM(B18:N18)</f>
        <v>121270</v>
      </c>
    </row>
    <row r="19" spans="1:15" ht="19.5" customHeight="1">
      <c r="A19" s="21" t="s">
        <v>20</v>
      </c>
      <c r="B19" s="45" t="s">
        <v>17</v>
      </c>
      <c r="C19" s="46" t="s">
        <v>18</v>
      </c>
      <c r="D19" s="45" t="s">
        <v>17</v>
      </c>
      <c r="E19" s="60" t="s">
        <v>18</v>
      </c>
      <c r="F19" s="67" t="s">
        <v>17</v>
      </c>
      <c r="G19" s="68" t="s">
        <v>22</v>
      </c>
      <c r="H19" s="68" t="s">
        <v>18</v>
      </c>
      <c r="I19" s="67" t="s">
        <v>17</v>
      </c>
      <c r="J19" s="68" t="s">
        <v>22</v>
      </c>
      <c r="K19" s="60" t="s">
        <v>18</v>
      </c>
      <c r="L19" s="67" t="s">
        <v>17</v>
      </c>
      <c r="M19" s="68" t="s">
        <v>22</v>
      </c>
      <c r="N19" s="58" t="s">
        <v>18</v>
      </c>
      <c r="O19" s="58" t="s">
        <v>24</v>
      </c>
    </row>
    <row r="20" spans="1:15" s="2" customFormat="1" ht="24.75" customHeight="1">
      <c r="A20" s="41" t="s">
        <v>9</v>
      </c>
      <c r="B20" s="47">
        <f>B17/(B16/60)</f>
        <v>43.60000000348798</v>
      </c>
      <c r="C20" s="48">
        <f>C17/(C16/60)</f>
        <v>46.82142857517439</v>
      </c>
      <c r="D20" s="47">
        <f aca="true" t="shared" si="3" ref="D20:N20">D17/(D16/60)</f>
        <v>39.636363639534544</v>
      </c>
      <c r="E20" s="61">
        <f t="shared" si="3"/>
        <v>55.65957447253787</v>
      </c>
      <c r="F20" s="51">
        <f t="shared" si="3"/>
        <v>50.307692311716906</v>
      </c>
      <c r="G20" s="63">
        <f>G17/(G16/60)</f>
        <v>39.00000000311999</v>
      </c>
      <c r="H20" s="48">
        <f t="shared" si="3"/>
        <v>51.13636364045454</v>
      </c>
      <c r="I20" s="63">
        <f t="shared" si="3"/>
        <v>46.71428571802282</v>
      </c>
      <c r="J20" s="61">
        <f>J17/(J16/60)</f>
        <v>35.57142857427427</v>
      </c>
      <c r="K20" s="48">
        <f t="shared" si="3"/>
        <v>49.86666667065601</v>
      </c>
      <c r="L20" s="63">
        <f t="shared" si="3"/>
        <v>37.91304348129396</v>
      </c>
      <c r="M20" s="61">
        <f>M17/(M16/60)</f>
        <v>26.13559322242981</v>
      </c>
      <c r="N20" s="30">
        <f t="shared" si="3"/>
        <v>36.88524590459015</v>
      </c>
      <c r="O20" s="30">
        <f>O17/(O16/60)</f>
        <v>42.56115108254159</v>
      </c>
    </row>
    <row r="21" spans="1:15" s="2" customFormat="1" ht="24.75" customHeight="1">
      <c r="A21" s="42" t="s">
        <v>11</v>
      </c>
      <c r="B21" s="49">
        <f>B13-B14</f>
        <v>0.31100000000000005</v>
      </c>
      <c r="C21" s="50">
        <f>C13-C14</f>
        <v>0.479</v>
      </c>
      <c r="D21" s="49">
        <f aca="true" t="shared" si="4" ref="D21:N21">D13-D14</f>
        <v>0.356</v>
      </c>
      <c r="E21" s="62">
        <f t="shared" si="4"/>
        <v>0.5780000000000001</v>
      </c>
      <c r="F21" s="49">
        <f t="shared" si="4"/>
        <v>0.416</v>
      </c>
      <c r="G21" s="62">
        <f>G13-G14</f>
        <v>0.21899999999999997</v>
      </c>
      <c r="H21" s="50">
        <f t="shared" si="4"/>
        <v>0.45799999999999996</v>
      </c>
      <c r="I21" s="62">
        <f t="shared" si="4"/>
        <v>0.393</v>
      </c>
      <c r="J21" s="62">
        <f>J13-J14</f>
        <v>0.22099999999999997</v>
      </c>
      <c r="K21" s="50">
        <f t="shared" si="4"/>
        <v>0.447</v>
      </c>
      <c r="L21" s="62">
        <f t="shared" si="4"/>
        <v>0.31199999999999994</v>
      </c>
      <c r="M21" s="62">
        <f>M13-M14</f>
        <v>0.18000000000000005</v>
      </c>
      <c r="N21" s="31">
        <f t="shared" si="4"/>
        <v>0.42799999999999994</v>
      </c>
      <c r="O21" s="31">
        <f>SUM(B21:N21)</f>
        <v>4.798</v>
      </c>
    </row>
    <row r="22" spans="1:15" s="2" customFormat="1" ht="24.75" customHeight="1">
      <c r="A22" s="42" t="s">
        <v>13</v>
      </c>
      <c r="B22" s="51">
        <f>B18/B17</f>
        <v>184.42660550458714</v>
      </c>
      <c r="C22" s="52">
        <f>C18/C17</f>
        <v>281.80778032036613</v>
      </c>
      <c r="D22" s="51">
        <f aca="true" t="shared" si="5" ref="D22:N22">D18/D17</f>
        <v>213.0045871559633</v>
      </c>
      <c r="E22" s="63">
        <f t="shared" si="5"/>
        <v>325.5733944954129</v>
      </c>
      <c r="F22" s="51">
        <f t="shared" si="5"/>
        <v>239.0137614678899</v>
      </c>
      <c r="G22" s="63">
        <f>G18/G17</f>
        <v>231.2145748987854</v>
      </c>
      <c r="H22" s="52">
        <f t="shared" si="5"/>
        <v>287.6</v>
      </c>
      <c r="I22" s="63">
        <f t="shared" si="5"/>
        <v>236.3761467889908</v>
      </c>
      <c r="J22" s="63">
        <f>J18/J17</f>
        <v>227.87148594377513</v>
      </c>
      <c r="K22" s="52">
        <f t="shared" si="5"/>
        <v>286.71122994652404</v>
      </c>
      <c r="L22" s="63">
        <f t="shared" si="5"/>
        <v>183.30275229357798</v>
      </c>
      <c r="M22" s="63">
        <f>M18/M17</f>
        <v>202.9571984435798</v>
      </c>
      <c r="N22" s="32">
        <f t="shared" si="5"/>
        <v>282.7733333333333</v>
      </c>
      <c r="O22" s="32">
        <f>O18/O17</f>
        <v>245.9837728194726</v>
      </c>
    </row>
    <row r="23" spans="1:15" s="2" customFormat="1" ht="24.75" customHeight="1" thickBot="1">
      <c r="A23" s="43" t="s">
        <v>16</v>
      </c>
      <c r="B23" s="53">
        <f>(B18/1000)/(B21)</f>
        <v>25.85530546623794</v>
      </c>
      <c r="C23" s="54">
        <f>(C18/1000)/(C21)</f>
        <v>25.7098121085595</v>
      </c>
      <c r="D23" s="53">
        <f aca="true" t="shared" si="6" ref="D23:N23">(D18/1000)/(D21)</f>
        <v>26.087078651685395</v>
      </c>
      <c r="E23" s="64">
        <f t="shared" si="6"/>
        <v>24.55882352941176</v>
      </c>
      <c r="F23" s="51">
        <f t="shared" si="6"/>
        <v>25.05048076923077</v>
      </c>
      <c r="G23" s="64">
        <f>(G18/1000)/(G21)</f>
        <v>26.07762557077626</v>
      </c>
      <c r="H23" s="54">
        <f t="shared" si="6"/>
        <v>23.548034934497817</v>
      </c>
      <c r="I23" s="64">
        <f t="shared" si="6"/>
        <v>26.22391857506361</v>
      </c>
      <c r="J23" s="64">
        <f>(J18/1000)/(J21)</f>
        <v>25.674208144796385</v>
      </c>
      <c r="K23" s="54">
        <f t="shared" si="6"/>
        <v>23.98881431767338</v>
      </c>
      <c r="L23" s="53">
        <f t="shared" si="6"/>
        <v>25.61538461538462</v>
      </c>
      <c r="M23" s="64">
        <f>(M18/1000)/(M21)</f>
        <v>28.97777777777777</v>
      </c>
      <c r="N23" s="33">
        <f t="shared" si="6"/>
        <v>24.77570093457944</v>
      </c>
      <c r="O23" s="112">
        <f>(O18/1000)/(O21)</f>
        <v>25.27511463109629</v>
      </c>
    </row>
    <row r="24" spans="1:15" ht="16.5" thickBot="1">
      <c r="A24" s="38"/>
      <c r="B24" s="78">
        <f>C25/C27</f>
        <v>110.50632911392405</v>
      </c>
      <c r="C24" s="56" t="s">
        <v>19</v>
      </c>
      <c r="D24" s="78">
        <f>E25/E27</f>
        <v>93.36188436830834</v>
      </c>
      <c r="E24" s="65" t="s">
        <v>19</v>
      </c>
      <c r="F24" s="71"/>
      <c r="G24" s="78">
        <f>H25/H27</f>
        <v>96.7978042086002</v>
      </c>
      <c r="H24" s="72" t="s">
        <v>19</v>
      </c>
      <c r="I24" s="4"/>
      <c r="J24" s="78">
        <f>K25/K27</f>
        <v>99.81149858623941</v>
      </c>
      <c r="K24" s="56" t="s">
        <v>19</v>
      </c>
      <c r="L24" s="55"/>
      <c r="M24" s="78">
        <f>N25/N27</f>
        <v>116.08695652173914</v>
      </c>
      <c r="N24" s="59" t="s">
        <v>19</v>
      </c>
      <c r="O24" s="59"/>
    </row>
    <row r="25" spans="1:15" ht="24.75" customHeight="1" thickBot="1">
      <c r="A25" s="44" t="s">
        <v>8</v>
      </c>
      <c r="B25" s="116"/>
      <c r="C25" s="57">
        <f>C17+B17</f>
        <v>87.30000000000001</v>
      </c>
      <c r="D25" s="116" t="s">
        <v>21</v>
      </c>
      <c r="E25" s="66">
        <f>E17+D17</f>
        <v>87.19999999999999</v>
      </c>
      <c r="F25" s="116" t="s">
        <v>23</v>
      </c>
      <c r="G25" s="113"/>
      <c r="H25" s="57">
        <f>H17+G17+F17</f>
        <v>105.80000000000001</v>
      </c>
      <c r="I25" s="113" t="s">
        <v>23</v>
      </c>
      <c r="J25" s="113"/>
      <c r="K25" s="57">
        <f>K17+J17+I17</f>
        <v>105.9</v>
      </c>
      <c r="L25" s="113"/>
      <c r="M25" s="113" t="s">
        <v>25</v>
      </c>
      <c r="N25" s="35">
        <f>N17+M17+L17</f>
        <v>106.8</v>
      </c>
      <c r="O25" s="75" t="s">
        <v>26</v>
      </c>
    </row>
    <row r="26" spans="1:15" ht="24.75" customHeight="1" thickBot="1">
      <c r="A26" s="42" t="s">
        <v>9</v>
      </c>
      <c r="B26" s="117"/>
      <c r="C26" s="52">
        <f>(B17+C17)/((B16+C16)/60)</f>
        <v>45.15517241740555</v>
      </c>
      <c r="D26" s="117"/>
      <c r="E26" s="63">
        <f>(D17+E17)/((D16+E16)/60)</f>
        <v>46.30088495945628</v>
      </c>
      <c r="F26" s="117"/>
      <c r="G26" s="114"/>
      <c r="H26" s="52">
        <f>(F17+G17+H17)/((F16+G16+H16)/60)</f>
        <v>47.373134332148055</v>
      </c>
      <c r="I26" s="114"/>
      <c r="J26" s="114"/>
      <c r="K26" s="52">
        <f>(I17+J17+K17)/((I16+J16+K16)/60)</f>
        <v>44.4335664371211</v>
      </c>
      <c r="L26" s="114"/>
      <c r="M26" s="114"/>
      <c r="N26" s="32">
        <f>(L17+M17+N17)/((L16+M16+N16)/60)</f>
        <v>33.90476190747429</v>
      </c>
      <c r="O26" s="76">
        <f>O17/O21</f>
        <v>102.75114631096291</v>
      </c>
    </row>
    <row r="27" spans="1:15" ht="24.75" customHeight="1">
      <c r="A27" s="42" t="s">
        <v>11</v>
      </c>
      <c r="B27" s="117"/>
      <c r="C27" s="50">
        <f>B21+C21</f>
        <v>0.79</v>
      </c>
      <c r="D27" s="117"/>
      <c r="E27" s="62">
        <f>D21+E21</f>
        <v>0.934</v>
      </c>
      <c r="F27" s="117"/>
      <c r="G27" s="114"/>
      <c r="H27" s="50">
        <f>F21+H21+G21</f>
        <v>1.093</v>
      </c>
      <c r="I27" s="114"/>
      <c r="J27" s="114"/>
      <c r="K27" s="50">
        <f>I21+K21+J21</f>
        <v>1.061</v>
      </c>
      <c r="L27" s="114"/>
      <c r="M27" s="114"/>
      <c r="N27" s="31">
        <f>L21+N21+M21</f>
        <v>0.9199999999999999</v>
      </c>
      <c r="O27" s="31"/>
    </row>
    <row r="28" spans="1:15" ht="24.75" customHeight="1">
      <c r="A28" s="42" t="s">
        <v>13</v>
      </c>
      <c r="B28" s="117"/>
      <c r="C28" s="52">
        <f>(B18+C18)/(B17+C17)</f>
        <v>233.17296678121417</v>
      </c>
      <c r="D28" s="117"/>
      <c r="E28" s="63">
        <f>(D18+E18)/(D17+E17)</f>
        <v>269.28899082568813</v>
      </c>
      <c r="F28" s="117"/>
      <c r="G28" s="114"/>
      <c r="H28" s="52">
        <f>(F18+G18+H18)/(F17+G17+H17)</f>
        <v>254.41398865784495</v>
      </c>
      <c r="I28" s="114"/>
      <c r="J28" s="114"/>
      <c r="K28" s="52">
        <f>(I18+J18+K18)/(I17+J17+K17)</f>
        <v>252.15297450424927</v>
      </c>
      <c r="L28" s="114"/>
      <c r="M28" s="114"/>
      <c r="N28" s="32">
        <f>(L18+M18+N18)/(L17+M17+N17)</f>
        <v>222.95880149812734</v>
      </c>
      <c r="O28" s="32"/>
    </row>
    <row r="29" spans="1:15" ht="24.75" customHeight="1" thickBot="1">
      <c r="A29" s="43" t="s">
        <v>16</v>
      </c>
      <c r="B29" s="118"/>
      <c r="C29" s="54">
        <f>((B18+C18)/1000)/(B21+C21)</f>
        <v>25.76708860759494</v>
      </c>
      <c r="D29" s="118"/>
      <c r="E29" s="64">
        <f>((D18+E18)/1000)/(D21+E21)</f>
        <v>25.141327623126337</v>
      </c>
      <c r="F29" s="118"/>
      <c r="G29" s="115"/>
      <c r="H29" s="54">
        <f>((F18+G18+H18)/1000)/(F21+G21+H21)</f>
        <v>24.626715462031108</v>
      </c>
      <c r="I29" s="115"/>
      <c r="J29" s="115"/>
      <c r="K29" s="54">
        <f>((I18+J18+K18)/1000)/(I21+J21+K21)</f>
        <v>25.16776625824694</v>
      </c>
      <c r="L29" s="115"/>
      <c r="M29" s="115"/>
      <c r="N29" s="33">
        <f>((L18+M18+N18)/1000)/(L21+M21+N21)</f>
        <v>25.882608695652177</v>
      </c>
      <c r="O29" s="33"/>
    </row>
    <row r="30" ht="15.75">
      <c r="A30" s="3"/>
    </row>
    <row r="31" ht="15.75">
      <c r="A31" s="3"/>
    </row>
    <row r="32" spans="3:8" ht="15.75">
      <c r="C32" s="69"/>
      <c r="D32" s="69"/>
      <c r="E32" s="69"/>
      <c r="F32" s="69"/>
      <c r="G32" s="69"/>
      <c r="H32" s="69"/>
    </row>
    <row r="33" spans="3:8" ht="15.75">
      <c r="C33" s="70"/>
      <c r="D33" s="70"/>
      <c r="E33" s="70"/>
      <c r="F33" s="70"/>
      <c r="G33" s="70"/>
      <c r="H33" s="70"/>
    </row>
    <row r="34" spans="3:8" ht="15.75">
      <c r="C34" s="70"/>
      <c r="D34" s="70"/>
      <c r="E34" s="70"/>
      <c r="F34" s="70"/>
      <c r="G34" s="70"/>
      <c r="H34" s="70"/>
    </row>
  </sheetData>
  <mergeCells count="8">
    <mergeCell ref="M25:M29"/>
    <mergeCell ref="L25:L29"/>
    <mergeCell ref="D25:D29"/>
    <mergeCell ref="B25:B29"/>
    <mergeCell ref="F25:F29"/>
    <mergeCell ref="I25:I29"/>
    <mergeCell ref="G25:G29"/>
    <mergeCell ref="J25:J29"/>
  </mergeCells>
  <printOptions horizontalCentered="1"/>
  <pageMargins left="0.5" right="0.5" top="1" bottom="1" header="0.5" footer="0.5"/>
  <pageSetup fitToHeight="1" fitToWidth="1"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M42"/>
  <sheetViews>
    <sheetView zoomScale="85" zoomScaleNormal="85" workbookViewId="0" topLeftCell="A1">
      <pane xSplit="1" topLeftCell="B1" activePane="topRight" state="frozen"/>
      <selection pane="topLeft" activeCell="A2" sqref="A2"/>
      <selection pane="topRight" activeCell="M27" sqref="M27"/>
    </sheetView>
  </sheetViews>
  <sheetFormatPr defaultColWidth="11.00390625" defaultRowHeight="12.75"/>
  <cols>
    <col min="1" max="1" width="22.75390625" style="1" customWidth="1"/>
    <col min="2" max="12" width="11.375" style="1" customWidth="1"/>
    <col min="13" max="13" width="14.875" style="1" customWidth="1"/>
    <col min="14" max="16384" width="10.75390625" style="1" customWidth="1"/>
  </cols>
  <sheetData>
    <row r="1" spans="1:13" ht="22.5">
      <c r="A1" s="14" t="s">
        <v>0</v>
      </c>
      <c r="B1" s="109">
        <v>37437</v>
      </c>
      <c r="C1" s="15" t="s">
        <v>33</v>
      </c>
      <c r="D1" s="15"/>
      <c r="E1" s="15"/>
      <c r="F1" s="15"/>
      <c r="G1" s="15"/>
      <c r="H1" s="15"/>
      <c r="I1" s="15"/>
      <c r="J1" s="15"/>
      <c r="K1" s="15"/>
      <c r="L1" s="16"/>
      <c r="M1" s="16"/>
    </row>
    <row r="2" spans="1:13" ht="9.75" customHeight="1">
      <c r="A2" s="17"/>
      <c r="B2" s="77"/>
      <c r="C2" s="13"/>
      <c r="D2" s="13"/>
      <c r="E2" s="13"/>
      <c r="F2" s="13"/>
      <c r="G2" s="13"/>
      <c r="H2" s="13"/>
      <c r="I2" s="13"/>
      <c r="J2" s="13"/>
      <c r="K2" s="13"/>
      <c r="L2" s="18"/>
      <c r="M2" s="18"/>
    </row>
    <row r="3" spans="1:13" ht="16.5" customHeight="1">
      <c r="A3" s="19" t="s">
        <v>1</v>
      </c>
      <c r="B3" s="34">
        <v>37441</v>
      </c>
      <c r="C3" s="34">
        <v>37441</v>
      </c>
      <c r="D3" s="34">
        <v>37442</v>
      </c>
      <c r="E3" s="34">
        <v>37442</v>
      </c>
      <c r="F3" s="34">
        <v>37443</v>
      </c>
      <c r="G3" s="34">
        <v>37443</v>
      </c>
      <c r="H3" s="34">
        <v>37443</v>
      </c>
      <c r="I3" s="34">
        <v>37446</v>
      </c>
      <c r="J3" s="34">
        <v>37446</v>
      </c>
      <c r="K3" s="34">
        <v>37447</v>
      </c>
      <c r="L3" s="73">
        <v>37447</v>
      </c>
      <c r="M3" s="74" t="s">
        <v>24</v>
      </c>
    </row>
    <row r="4" spans="1:13" ht="16.5" customHeight="1">
      <c r="A4" s="19" t="s">
        <v>2</v>
      </c>
      <c r="B4" s="8">
        <v>0.2722222222222222</v>
      </c>
      <c r="C4" s="8">
        <v>0.2701388888888889</v>
      </c>
      <c r="D4" s="8">
        <v>0.30416666666666664</v>
      </c>
      <c r="E4" s="8">
        <v>0.18194444444444444</v>
      </c>
      <c r="F4" s="8">
        <v>0.375</v>
      </c>
      <c r="G4" s="8">
        <v>0.5680555555555555</v>
      </c>
      <c r="H4" s="8">
        <v>0.7840277777777778</v>
      </c>
      <c r="I4" s="8">
        <v>0.31736111111111115</v>
      </c>
      <c r="J4" s="8">
        <v>0.779861111111111</v>
      </c>
      <c r="K4" s="8">
        <v>0.3048611111111111</v>
      </c>
      <c r="L4" s="36">
        <v>0.7444444444444445</v>
      </c>
      <c r="M4" s="36"/>
    </row>
    <row r="5" spans="1:13" ht="16.5" customHeight="1">
      <c r="A5" s="19" t="s">
        <v>3</v>
      </c>
      <c r="B5" s="8">
        <v>0.3111111111111111</v>
      </c>
      <c r="C5" s="8">
        <v>0.3076388888888889</v>
      </c>
      <c r="D5" s="8">
        <v>0.34375</v>
      </c>
      <c r="E5" s="8">
        <v>0.2548611111111111</v>
      </c>
      <c r="F5" s="8">
        <v>0.40972222222222227</v>
      </c>
      <c r="G5" s="8">
        <v>0.6006944444444444</v>
      </c>
      <c r="H5" s="8">
        <v>0.825</v>
      </c>
      <c r="I5" s="8">
        <v>0.3541666666666667</v>
      </c>
      <c r="J5" s="8">
        <v>0.8236111111111111</v>
      </c>
      <c r="K5" s="8">
        <v>0.3576388888888889</v>
      </c>
      <c r="L5" s="36">
        <v>0.7902777777777777</v>
      </c>
      <c r="M5" s="36"/>
    </row>
    <row r="6" spans="1:13" ht="16.5" customHeight="1">
      <c r="A6" s="21"/>
      <c r="B6" s="5"/>
      <c r="C6" s="6"/>
      <c r="D6" s="5"/>
      <c r="E6" s="5"/>
      <c r="F6" s="5"/>
      <c r="G6" s="5"/>
      <c r="H6" s="5"/>
      <c r="I6" s="5"/>
      <c r="J6" s="5"/>
      <c r="K6" s="5"/>
      <c r="L6" s="22"/>
      <c r="M6" s="22"/>
    </row>
    <row r="7" spans="1:13" ht="16.5" customHeight="1">
      <c r="A7" s="19" t="s">
        <v>14</v>
      </c>
      <c r="B7" s="39">
        <v>0</v>
      </c>
      <c r="C7" s="7">
        <v>43.5</v>
      </c>
      <c r="D7" s="39">
        <v>0</v>
      </c>
      <c r="E7" s="39">
        <v>45.1</v>
      </c>
      <c r="F7" s="39">
        <v>0</v>
      </c>
      <c r="G7" s="39">
        <v>40.6</v>
      </c>
      <c r="H7" s="39">
        <v>51.4</v>
      </c>
      <c r="I7" s="39">
        <v>0</v>
      </c>
      <c r="J7" s="39">
        <v>43.5</v>
      </c>
      <c r="K7" s="39">
        <v>0</v>
      </c>
      <c r="L7" s="40">
        <v>43.6</v>
      </c>
      <c r="M7" s="40"/>
    </row>
    <row r="8" spans="1:13" ht="16.5" customHeight="1">
      <c r="A8" s="19" t="s">
        <v>15</v>
      </c>
      <c r="B8" s="7">
        <v>43.5</v>
      </c>
      <c r="C8" s="7">
        <v>87.1</v>
      </c>
      <c r="D8" s="7">
        <v>43.6</v>
      </c>
      <c r="E8" s="7">
        <v>92.6</v>
      </c>
      <c r="F8" s="7">
        <v>40.6</v>
      </c>
      <c r="G8" s="7">
        <v>51.4</v>
      </c>
      <c r="H8" s="7">
        <v>94.5</v>
      </c>
      <c r="I8" s="7">
        <v>43.5</v>
      </c>
      <c r="J8" s="7">
        <v>87.2</v>
      </c>
      <c r="K8" s="7">
        <v>43.6</v>
      </c>
      <c r="L8" s="20">
        <v>87.1</v>
      </c>
      <c r="M8" s="20"/>
    </row>
    <row r="9" spans="1:13" ht="16.5" customHeight="1">
      <c r="A9" s="21"/>
      <c r="B9" s="5"/>
      <c r="C9" s="5"/>
      <c r="D9" s="5"/>
      <c r="E9" s="5"/>
      <c r="F9" s="5"/>
      <c r="G9" s="5"/>
      <c r="H9" s="5"/>
      <c r="I9" s="5"/>
      <c r="J9" s="5"/>
      <c r="K9" s="5"/>
      <c r="L9" s="22"/>
      <c r="M9" s="22"/>
    </row>
    <row r="10" spans="1:13" ht="16.5" customHeight="1">
      <c r="A10" s="19" t="s">
        <v>7</v>
      </c>
      <c r="B10" s="7">
        <v>1176297</v>
      </c>
      <c r="C10" s="7">
        <v>1184329</v>
      </c>
      <c r="D10" s="7">
        <v>1194866</v>
      </c>
      <c r="E10" s="7">
        <v>1202323</v>
      </c>
      <c r="F10" s="7">
        <v>1212645</v>
      </c>
      <c r="G10" s="7">
        <v>1220145</v>
      </c>
      <c r="H10" s="7">
        <v>1222651</v>
      </c>
      <c r="I10" s="7">
        <v>1234163</v>
      </c>
      <c r="J10" s="7">
        <v>1242081</v>
      </c>
      <c r="K10" s="7">
        <v>1252500</v>
      </c>
      <c r="L10" s="20">
        <v>1259568</v>
      </c>
      <c r="M10" s="20"/>
    </row>
    <row r="11" spans="1:13" ht="16.5" customHeight="1">
      <c r="A11" s="19" t="s">
        <v>6</v>
      </c>
      <c r="B11" s="7">
        <v>1184328</v>
      </c>
      <c r="C11" s="7">
        <v>1194860</v>
      </c>
      <c r="D11" s="7">
        <v>1202319</v>
      </c>
      <c r="E11" s="7">
        <v>1212637</v>
      </c>
      <c r="F11" s="7">
        <v>1220142</v>
      </c>
      <c r="G11" s="7">
        <v>1222648</v>
      </c>
      <c r="H11" s="7">
        <v>1234153</v>
      </c>
      <c r="I11" s="7">
        <v>1242079</v>
      </c>
      <c r="J11" s="7">
        <v>1252497</v>
      </c>
      <c r="K11" s="7">
        <v>1259568</v>
      </c>
      <c r="L11" s="20">
        <v>1269982</v>
      </c>
      <c r="M11" s="20"/>
    </row>
    <row r="12" spans="1:13" ht="16.5" customHeight="1">
      <c r="A12" s="21"/>
      <c r="B12" s="5"/>
      <c r="C12" s="5"/>
      <c r="D12" s="5"/>
      <c r="E12" s="5"/>
      <c r="F12" s="5"/>
      <c r="G12" s="5"/>
      <c r="H12" s="5"/>
      <c r="I12" s="5"/>
      <c r="J12" s="5"/>
      <c r="K12" s="5"/>
      <c r="L12" s="22"/>
      <c r="M12" s="22"/>
    </row>
    <row r="13" spans="1:13" ht="16.5" customHeight="1">
      <c r="A13" s="19" t="s">
        <v>4</v>
      </c>
      <c r="B13" s="9">
        <v>0.92</v>
      </c>
      <c r="C13" s="9">
        <v>0.868</v>
      </c>
      <c r="D13" s="9">
        <v>0.964</v>
      </c>
      <c r="E13" s="9">
        <v>0.876</v>
      </c>
      <c r="F13" s="9">
        <v>0.959</v>
      </c>
      <c r="G13" s="9">
        <v>0.67</v>
      </c>
      <c r="H13" s="9">
        <v>0.941</v>
      </c>
      <c r="I13" s="9">
        <v>0.859</v>
      </c>
      <c r="J13" s="9">
        <v>0.884</v>
      </c>
      <c r="K13" s="9">
        <v>0.908</v>
      </c>
      <c r="L13" s="37">
        <v>0.875</v>
      </c>
      <c r="M13" s="37"/>
    </row>
    <row r="14" spans="1:13" ht="16.5" customHeight="1">
      <c r="A14" s="19" t="s">
        <v>5</v>
      </c>
      <c r="B14" s="9">
        <v>0.615</v>
      </c>
      <c r="C14" s="9">
        <v>0.459</v>
      </c>
      <c r="D14" s="9">
        <v>0.683</v>
      </c>
      <c r="E14" s="9">
        <v>0.475</v>
      </c>
      <c r="F14" s="9">
        <v>0.671</v>
      </c>
      <c r="G14" s="9">
        <v>0.57</v>
      </c>
      <c r="H14" s="9">
        <v>0.492</v>
      </c>
      <c r="I14" s="9">
        <v>0.557</v>
      </c>
      <c r="J14" s="9">
        <v>0.477</v>
      </c>
      <c r="K14" s="9">
        <v>0.635</v>
      </c>
      <c r="L14" s="37">
        <v>0.467</v>
      </c>
      <c r="M14" s="37"/>
    </row>
    <row r="15" spans="1:13" ht="16.5" customHeight="1">
      <c r="A15" s="21"/>
      <c r="B15" s="4"/>
      <c r="C15" s="4"/>
      <c r="D15" s="4"/>
      <c r="E15" s="4"/>
      <c r="F15" s="4"/>
      <c r="G15" s="4"/>
      <c r="H15" s="4"/>
      <c r="I15" s="4"/>
      <c r="J15" s="4"/>
      <c r="K15" s="4"/>
      <c r="L15" s="23"/>
      <c r="M15" s="23"/>
    </row>
    <row r="16" spans="1:13" ht="16.5" customHeight="1">
      <c r="A16" s="24" t="s">
        <v>10</v>
      </c>
      <c r="B16" s="11">
        <f aca="true" t="shared" si="0" ref="B16:L16">((B5-B4)/0.04166666667)*60</f>
        <v>55.99999999552004</v>
      </c>
      <c r="C16" s="11">
        <f t="shared" si="0"/>
        <v>53.99999999568005</v>
      </c>
      <c r="D16" s="11">
        <f t="shared" si="0"/>
        <v>56.999999995440035</v>
      </c>
      <c r="E16" s="11">
        <f t="shared" si="0"/>
        <v>104.99999999159999</v>
      </c>
      <c r="F16" s="11">
        <f t="shared" si="0"/>
        <v>49.999999996000064</v>
      </c>
      <c r="G16" s="11">
        <f>((G5-G4)/0.04166666667)*60</f>
        <v>46.99999999623999</v>
      </c>
      <c r="H16" s="11">
        <f t="shared" si="0"/>
        <v>58.99999999527995</v>
      </c>
      <c r="I16" s="11">
        <f t="shared" si="0"/>
        <v>52.99999999575998</v>
      </c>
      <c r="J16" s="11">
        <f t="shared" si="0"/>
        <v>62.9999999949601</v>
      </c>
      <c r="K16" s="11">
        <f t="shared" si="0"/>
        <v>75.99999999392006</v>
      </c>
      <c r="L16" s="25">
        <f t="shared" si="0"/>
        <v>65.99999999471993</v>
      </c>
      <c r="M16" s="25">
        <f>SUM(B16:L16)</f>
        <v>685.9999999451202</v>
      </c>
    </row>
    <row r="17" spans="1:13" ht="16.5" customHeight="1">
      <c r="A17" s="26" t="s">
        <v>8</v>
      </c>
      <c r="B17" s="10">
        <f aca="true" t="shared" si="1" ref="B17:L17">B8-B7</f>
        <v>43.5</v>
      </c>
      <c r="C17" s="10">
        <f t="shared" si="1"/>
        <v>43.599999999999994</v>
      </c>
      <c r="D17" s="10">
        <f t="shared" si="1"/>
        <v>43.6</v>
      </c>
      <c r="E17" s="10">
        <f t="shared" si="1"/>
        <v>47.49999999999999</v>
      </c>
      <c r="F17" s="10">
        <f t="shared" si="1"/>
        <v>40.6</v>
      </c>
      <c r="G17" s="10">
        <f>G8-G7</f>
        <v>10.799999999999997</v>
      </c>
      <c r="H17" s="10">
        <f t="shared" si="1"/>
        <v>43.1</v>
      </c>
      <c r="I17" s="10">
        <f t="shared" si="1"/>
        <v>43.5</v>
      </c>
      <c r="J17" s="10">
        <f t="shared" si="1"/>
        <v>43.7</v>
      </c>
      <c r="K17" s="10">
        <f t="shared" si="1"/>
        <v>43.6</v>
      </c>
      <c r="L17" s="27">
        <f t="shared" si="1"/>
        <v>43.49999999999999</v>
      </c>
      <c r="M17" s="27">
        <f>SUM(B17:L17)</f>
        <v>447</v>
      </c>
    </row>
    <row r="18" spans="1:13" ht="16.5" customHeight="1">
      <c r="A18" s="28" t="s">
        <v>12</v>
      </c>
      <c r="B18" s="12">
        <f aca="true" t="shared" si="2" ref="B18:L18">B11-B10</f>
        <v>8031</v>
      </c>
      <c r="C18" s="12">
        <f t="shared" si="2"/>
        <v>10531</v>
      </c>
      <c r="D18" s="12">
        <f t="shared" si="2"/>
        <v>7453</v>
      </c>
      <c r="E18" s="12">
        <f t="shared" si="2"/>
        <v>10314</v>
      </c>
      <c r="F18" s="10">
        <f t="shared" si="2"/>
        <v>7497</v>
      </c>
      <c r="G18" s="10">
        <f>G11-G10</f>
        <v>2503</v>
      </c>
      <c r="H18" s="10">
        <f t="shared" si="2"/>
        <v>11502</v>
      </c>
      <c r="I18" s="10">
        <f t="shared" si="2"/>
        <v>7916</v>
      </c>
      <c r="J18" s="12">
        <f t="shared" si="2"/>
        <v>10416</v>
      </c>
      <c r="K18" s="10">
        <f t="shared" si="2"/>
        <v>7068</v>
      </c>
      <c r="L18" s="29">
        <f t="shared" si="2"/>
        <v>10414</v>
      </c>
      <c r="M18" s="29">
        <f>SUM(B18:L18)</f>
        <v>93645</v>
      </c>
    </row>
    <row r="19" spans="1:13" ht="16.5" customHeight="1">
      <c r="A19" s="21" t="s">
        <v>20</v>
      </c>
      <c r="B19" s="45" t="s">
        <v>17</v>
      </c>
      <c r="C19" s="46" t="s">
        <v>18</v>
      </c>
      <c r="D19" s="45" t="s">
        <v>17</v>
      </c>
      <c r="E19" s="60" t="s">
        <v>18</v>
      </c>
      <c r="F19" s="67" t="s">
        <v>34</v>
      </c>
      <c r="G19" s="68" t="s">
        <v>35</v>
      </c>
      <c r="H19" s="68" t="s">
        <v>18</v>
      </c>
      <c r="I19" s="67" t="s">
        <v>17</v>
      </c>
      <c r="J19" s="60" t="s">
        <v>18</v>
      </c>
      <c r="K19" s="67" t="s">
        <v>17</v>
      </c>
      <c r="L19" s="58" t="s">
        <v>18</v>
      </c>
      <c r="M19" s="58" t="s">
        <v>24</v>
      </c>
    </row>
    <row r="20" spans="1:13" s="2" customFormat="1" ht="16.5" customHeight="1">
      <c r="A20" s="41" t="s">
        <v>9</v>
      </c>
      <c r="B20" s="47">
        <f aca="true" t="shared" si="3" ref="B20:M20">B17/(B16/60)</f>
        <v>46.60714286087139</v>
      </c>
      <c r="C20" s="48">
        <f t="shared" si="3"/>
        <v>48.44444444831995</v>
      </c>
      <c r="D20" s="47">
        <f t="shared" si="3"/>
        <v>45.89473684577681</v>
      </c>
      <c r="E20" s="48">
        <f t="shared" si="3"/>
        <v>27.14285714502857</v>
      </c>
      <c r="F20" s="63">
        <f t="shared" si="3"/>
        <v>48.72000000389754</v>
      </c>
      <c r="G20" s="63">
        <f>G17/(G16/60)</f>
        <v>13.787234043656168</v>
      </c>
      <c r="H20" s="48">
        <f t="shared" si="3"/>
        <v>43.83050847808275</v>
      </c>
      <c r="I20" s="63">
        <f t="shared" si="3"/>
        <v>49.24528302280757</v>
      </c>
      <c r="J20" s="48">
        <f t="shared" si="3"/>
        <v>41.61904762237708</v>
      </c>
      <c r="K20" s="63">
        <f t="shared" si="3"/>
        <v>34.421052634332604</v>
      </c>
      <c r="L20" s="30">
        <f t="shared" si="3"/>
        <v>39.545454548618224</v>
      </c>
      <c r="M20" s="30">
        <f t="shared" si="3"/>
        <v>39.09620991566413</v>
      </c>
    </row>
    <row r="21" spans="1:13" s="2" customFormat="1" ht="16.5" customHeight="1">
      <c r="A21" s="42" t="s">
        <v>11</v>
      </c>
      <c r="B21" s="49">
        <f aca="true" t="shared" si="4" ref="B21:L21">B13-B14</f>
        <v>0.30500000000000005</v>
      </c>
      <c r="C21" s="50">
        <f t="shared" si="4"/>
        <v>0.409</v>
      </c>
      <c r="D21" s="49">
        <f t="shared" si="4"/>
        <v>0.2809999999999999</v>
      </c>
      <c r="E21" s="50">
        <f t="shared" si="4"/>
        <v>0.401</v>
      </c>
      <c r="F21" s="62">
        <f t="shared" si="4"/>
        <v>0.2879999999999999</v>
      </c>
      <c r="G21" s="62">
        <f>G13-G14</f>
        <v>0.10000000000000009</v>
      </c>
      <c r="H21" s="50">
        <f t="shared" si="4"/>
        <v>0.44899999999999995</v>
      </c>
      <c r="I21" s="62">
        <f t="shared" si="4"/>
        <v>0.30199999999999994</v>
      </c>
      <c r="J21" s="50">
        <f t="shared" si="4"/>
        <v>0.40700000000000003</v>
      </c>
      <c r="K21" s="62">
        <f t="shared" si="4"/>
        <v>0.273</v>
      </c>
      <c r="L21" s="31">
        <f t="shared" si="4"/>
        <v>0.408</v>
      </c>
      <c r="M21" s="31">
        <f>SUM(B21:L21)</f>
        <v>3.6229999999999998</v>
      </c>
    </row>
    <row r="22" spans="1:13" s="2" customFormat="1" ht="16.5" customHeight="1">
      <c r="A22" s="42" t="s">
        <v>13</v>
      </c>
      <c r="B22" s="51">
        <f aca="true" t="shared" si="5" ref="B22:M22">B18/B17</f>
        <v>184.6206896551724</v>
      </c>
      <c r="C22" s="52">
        <f t="shared" si="5"/>
        <v>241.53669724770646</v>
      </c>
      <c r="D22" s="51">
        <f t="shared" si="5"/>
        <v>170.94036697247705</v>
      </c>
      <c r="E22" s="52">
        <f t="shared" si="5"/>
        <v>217.13684210526318</v>
      </c>
      <c r="F22" s="63">
        <f t="shared" si="5"/>
        <v>184.6551724137931</v>
      </c>
      <c r="G22" s="63">
        <f>G18/G17</f>
        <v>231.75925925925932</v>
      </c>
      <c r="H22" s="52">
        <f t="shared" si="5"/>
        <v>266.8677494199536</v>
      </c>
      <c r="I22" s="63">
        <f t="shared" si="5"/>
        <v>181.97701149425288</v>
      </c>
      <c r="J22" s="52">
        <f t="shared" si="5"/>
        <v>238.35240274599542</v>
      </c>
      <c r="K22" s="63">
        <f t="shared" si="5"/>
        <v>162.11009174311926</v>
      </c>
      <c r="L22" s="32">
        <f t="shared" si="5"/>
        <v>239.40229885057474</v>
      </c>
      <c r="M22" s="32">
        <f t="shared" si="5"/>
        <v>209.49664429530202</v>
      </c>
    </row>
    <row r="23" spans="1:13" s="2" customFormat="1" ht="16.5" customHeight="1">
      <c r="A23" s="42" t="s">
        <v>36</v>
      </c>
      <c r="B23" s="63">
        <f aca="true" t="shared" si="6" ref="B23:M23">B17/B21</f>
        <v>142.6229508196721</v>
      </c>
      <c r="C23" s="52">
        <f t="shared" si="6"/>
        <v>106.60146699266502</v>
      </c>
      <c r="D23" s="63">
        <f t="shared" si="6"/>
        <v>155.1601423487545</v>
      </c>
      <c r="E23" s="52">
        <f t="shared" si="6"/>
        <v>118.45386533665832</v>
      </c>
      <c r="F23" s="63">
        <f t="shared" si="6"/>
        <v>140.97222222222226</v>
      </c>
      <c r="G23" s="63">
        <f t="shared" si="6"/>
        <v>107.99999999999987</v>
      </c>
      <c r="H23" s="52">
        <f t="shared" si="6"/>
        <v>95.9910913140312</v>
      </c>
      <c r="I23" s="63">
        <f t="shared" si="6"/>
        <v>144.03973509933778</v>
      </c>
      <c r="J23" s="52">
        <f t="shared" si="6"/>
        <v>107.37100737100737</v>
      </c>
      <c r="K23" s="63">
        <f t="shared" si="6"/>
        <v>159.7069597069597</v>
      </c>
      <c r="L23" s="52">
        <f t="shared" si="6"/>
        <v>106.61764705882352</v>
      </c>
      <c r="M23" s="32">
        <f t="shared" si="6"/>
        <v>123.37841567761524</v>
      </c>
    </row>
    <row r="24" spans="1:13" s="2" customFormat="1" ht="16.5" customHeight="1" thickBot="1">
      <c r="A24" s="43" t="s">
        <v>16</v>
      </c>
      <c r="B24" s="53">
        <f aca="true" t="shared" si="7" ref="B24:M24">(B18/1000)/(B21)</f>
        <v>26.331147540983604</v>
      </c>
      <c r="C24" s="54">
        <f t="shared" si="7"/>
        <v>25.748166259168705</v>
      </c>
      <c r="D24" s="53">
        <f t="shared" si="7"/>
        <v>26.523131672597874</v>
      </c>
      <c r="E24" s="54">
        <f t="shared" si="7"/>
        <v>25.720698254364088</v>
      </c>
      <c r="F24" s="64">
        <f t="shared" si="7"/>
        <v>26.031250000000007</v>
      </c>
      <c r="G24" s="64">
        <f>(G18/1000)/(G21)</f>
        <v>25.02999999999998</v>
      </c>
      <c r="H24" s="54">
        <f t="shared" si="7"/>
        <v>25.61692650334076</v>
      </c>
      <c r="I24" s="64">
        <f t="shared" si="7"/>
        <v>26.211920529801333</v>
      </c>
      <c r="J24" s="54">
        <f t="shared" si="7"/>
        <v>25.59213759213759</v>
      </c>
      <c r="K24" s="53">
        <f t="shared" si="7"/>
        <v>25.890109890109887</v>
      </c>
      <c r="L24" s="33">
        <f t="shared" si="7"/>
        <v>25.52450980392157</v>
      </c>
      <c r="M24" s="33">
        <f t="shared" si="7"/>
        <v>25.847364062931273</v>
      </c>
    </row>
    <row r="25" spans="1:13" ht="16.5" customHeight="1" thickBot="1">
      <c r="A25" s="38"/>
      <c r="B25" s="78"/>
      <c r="C25" s="56" t="s">
        <v>19</v>
      </c>
      <c r="D25" s="78"/>
      <c r="E25" s="65" t="s">
        <v>19</v>
      </c>
      <c r="F25" s="78"/>
      <c r="G25" s="86"/>
      <c r="H25" s="72" t="s">
        <v>19</v>
      </c>
      <c r="I25" s="78"/>
      <c r="J25" s="56" t="s">
        <v>19</v>
      </c>
      <c r="K25" s="78"/>
      <c r="L25" s="59" t="s">
        <v>19</v>
      </c>
      <c r="M25" s="59"/>
    </row>
    <row r="26" spans="1:13" ht="16.5" customHeight="1" thickBot="1">
      <c r="A26" s="44" t="s">
        <v>8</v>
      </c>
      <c r="B26" s="87"/>
      <c r="C26" s="57">
        <f>C17+B17</f>
        <v>87.1</v>
      </c>
      <c r="D26" s="87"/>
      <c r="E26" s="66">
        <f>E17+D17</f>
        <v>91.1</v>
      </c>
      <c r="F26" s="87"/>
      <c r="G26" s="83"/>
      <c r="H26" s="57">
        <f>H17+F17+G17</f>
        <v>94.5</v>
      </c>
      <c r="I26" s="83"/>
      <c r="J26" s="57">
        <f>J17+I17</f>
        <v>87.2</v>
      </c>
      <c r="K26" s="83"/>
      <c r="L26" s="57">
        <f>L17+K17</f>
        <v>87.1</v>
      </c>
      <c r="M26" s="79" t="s">
        <v>26</v>
      </c>
    </row>
    <row r="27" spans="1:13" ht="16.5" customHeight="1" thickBot="1">
      <c r="A27" s="42" t="s">
        <v>9</v>
      </c>
      <c r="B27" s="88"/>
      <c r="C27" s="52">
        <f>(B17+C17)/((B16+C16)/60)</f>
        <v>47.50909091289159</v>
      </c>
      <c r="D27" s="88"/>
      <c r="E27" s="63">
        <f>(D17+E17)/((D16+E16)/60)</f>
        <v>33.74074074343999</v>
      </c>
      <c r="F27" s="88"/>
      <c r="G27" s="84">
        <f>(B17+D17+F17+I17+K17)/(B21+D21+F21+I21+K21)</f>
        <v>148.24016563146998</v>
      </c>
      <c r="H27" s="52">
        <f>(F17+H17+G17)/((F16+H16+G16)/60)</f>
        <v>36.34615384906154</v>
      </c>
      <c r="I27" s="84"/>
      <c r="J27" s="52">
        <f>(I17+J17)/((I16+J16)/60)</f>
        <v>45.103448279470314</v>
      </c>
      <c r="K27" s="84"/>
      <c r="L27" s="52">
        <f>(K17+L17)/((K16+L16)/60)</f>
        <v>36.802816904352674</v>
      </c>
      <c r="M27" s="80">
        <f>M17/M21</f>
        <v>123.37841567761524</v>
      </c>
    </row>
    <row r="28" spans="1:13" ht="16.5" customHeight="1" thickBot="1">
      <c r="A28" s="42" t="s">
        <v>11</v>
      </c>
      <c r="B28" s="88"/>
      <c r="C28" s="50">
        <f>B21+C21</f>
        <v>0.714</v>
      </c>
      <c r="D28" s="88"/>
      <c r="E28" s="62">
        <f>D21+E21</f>
        <v>0.6819999999999999</v>
      </c>
      <c r="F28" s="88"/>
      <c r="G28" s="84">
        <f>(C17+E17+H17+J17+L17)/(C21+E21+H21+J21+L21)</f>
        <v>106.75024108003856</v>
      </c>
      <c r="H28" s="50">
        <f>F21+H21+G21</f>
        <v>0.837</v>
      </c>
      <c r="I28" s="84"/>
      <c r="J28" s="50">
        <f>I21+J21</f>
        <v>0.709</v>
      </c>
      <c r="K28" s="84"/>
      <c r="L28" s="50">
        <f>K21+L21</f>
        <v>0.681</v>
      </c>
      <c r="M28" s="91"/>
    </row>
    <row r="29" spans="1:13" ht="16.5" customHeight="1" thickBot="1">
      <c r="A29" s="42" t="s">
        <v>13</v>
      </c>
      <c r="B29" s="88"/>
      <c r="C29" s="52">
        <f>(B18+C18)/(B17+C17)</f>
        <v>213.11136624569463</v>
      </c>
      <c r="D29" s="88"/>
      <c r="E29" s="63">
        <f>(D18+E18)/(D17+E17)</f>
        <v>195.02744237102087</v>
      </c>
      <c r="F29" s="88"/>
      <c r="G29" s="84"/>
      <c r="H29" s="52">
        <f>(F18+H18+G18)/(F17+H17+G17)</f>
        <v>227.53439153439155</v>
      </c>
      <c r="I29" s="84"/>
      <c r="J29" s="52">
        <f>(I18+J18)/(I17+J17)</f>
        <v>210.22935779816513</v>
      </c>
      <c r="K29" s="84"/>
      <c r="L29" s="52">
        <f>(K18+L18)/(K17+L17)</f>
        <v>200.7118254879449</v>
      </c>
      <c r="M29" s="90" t="s">
        <v>37</v>
      </c>
    </row>
    <row r="30" spans="1:13" ht="16.5" customHeight="1" thickBot="1">
      <c r="A30" s="42" t="s">
        <v>36</v>
      </c>
      <c r="B30" s="88"/>
      <c r="C30" s="52">
        <f>C26/C28</f>
        <v>121.98879551820728</v>
      </c>
      <c r="D30" s="88"/>
      <c r="E30" s="52">
        <f>E26/E28</f>
        <v>133.5777126099707</v>
      </c>
      <c r="F30" s="88"/>
      <c r="G30" s="84"/>
      <c r="H30" s="52">
        <f>H26/H28</f>
        <v>112.90322580645162</v>
      </c>
      <c r="I30" s="84"/>
      <c r="J30" s="52">
        <f>J26/J28</f>
        <v>122.99012693935121</v>
      </c>
      <c r="K30" s="84"/>
      <c r="L30" s="52">
        <f>L26/L28</f>
        <v>127.9001468428781</v>
      </c>
      <c r="M30" s="92">
        <f>(E23+K23)/2</f>
        <v>139.08041252180902</v>
      </c>
    </row>
    <row r="31" spans="1:13" ht="16.5" customHeight="1" thickBot="1">
      <c r="A31" s="43" t="s">
        <v>16</v>
      </c>
      <c r="B31" s="89"/>
      <c r="C31" s="54">
        <f>((B18+C18)/1000)/(B21+C21)</f>
        <v>25.997198879551824</v>
      </c>
      <c r="D31" s="89"/>
      <c r="E31" s="64">
        <f>((D18+E18)/1000)/(D21+E21)</f>
        <v>26.051319648093845</v>
      </c>
      <c r="F31" s="89"/>
      <c r="G31" s="85"/>
      <c r="H31" s="54">
        <f>((F18+H18+G18)/1000)/(F21+H21+G21)</f>
        <v>25.68936678614098</v>
      </c>
      <c r="I31" s="85"/>
      <c r="J31" s="54">
        <f>((I18+J18)/1000)/(I21+J21)</f>
        <v>25.856135401974615</v>
      </c>
      <c r="K31" s="85"/>
      <c r="L31" s="54">
        <f>((K18+L18)/1000)/(K21+L21)</f>
        <v>25.671071953010276</v>
      </c>
      <c r="M31" s="33"/>
    </row>
    <row r="32" ht="15.75">
      <c r="A32" s="3"/>
    </row>
    <row r="33" ht="15.75">
      <c r="A33" s="3"/>
    </row>
    <row r="34" spans="1:13" ht="15.75">
      <c r="A34" s="3" t="s">
        <v>27</v>
      </c>
      <c r="B34" s="93">
        <v>115037</v>
      </c>
      <c r="C34" s="96">
        <v>115998</v>
      </c>
      <c r="D34" s="93">
        <v>116799</v>
      </c>
      <c r="E34" s="96">
        <v>118088</v>
      </c>
      <c r="F34" s="93">
        <v>120600</v>
      </c>
      <c r="G34" s="81">
        <v>121754</v>
      </c>
      <c r="H34" s="96">
        <v>122859</v>
      </c>
      <c r="I34" s="93">
        <v>123901</v>
      </c>
      <c r="J34" s="96">
        <v>125107</v>
      </c>
      <c r="K34" s="93">
        <v>126172</v>
      </c>
      <c r="L34" s="96">
        <v>127859</v>
      </c>
      <c r="M34" s="81">
        <f>SUM(B34:L34)</f>
        <v>1334174</v>
      </c>
    </row>
    <row r="35" spans="1:13" ht="15.75">
      <c r="A35" s="3" t="s">
        <v>28</v>
      </c>
      <c r="B35" s="93">
        <v>115998</v>
      </c>
      <c r="C35" s="96">
        <v>116799</v>
      </c>
      <c r="D35" s="93">
        <v>118088</v>
      </c>
      <c r="E35" s="96">
        <v>120600</v>
      </c>
      <c r="F35" s="93">
        <v>121754</v>
      </c>
      <c r="G35" s="81">
        <v>122859</v>
      </c>
      <c r="H35" s="96">
        <v>123901</v>
      </c>
      <c r="I35" s="93">
        <v>125107</v>
      </c>
      <c r="J35" s="96">
        <v>126172</v>
      </c>
      <c r="K35" s="93">
        <v>127859</v>
      </c>
      <c r="L35" s="96">
        <v>129359</v>
      </c>
      <c r="M35" s="81">
        <f>SUM(B35:L35)</f>
        <v>1348496</v>
      </c>
    </row>
    <row r="36" spans="1:13" ht="15.75">
      <c r="A36" s="3" t="s">
        <v>24</v>
      </c>
      <c r="B36" s="93">
        <f>B35-B34</f>
        <v>961</v>
      </c>
      <c r="C36" s="96">
        <f aca="true" t="shared" si="8" ref="C36:M36">C35-C34</f>
        <v>801</v>
      </c>
      <c r="D36" s="93">
        <f t="shared" si="8"/>
        <v>1289</v>
      </c>
      <c r="E36" s="96">
        <f t="shared" si="8"/>
        <v>2512</v>
      </c>
      <c r="F36" s="93">
        <f t="shared" si="8"/>
        <v>1154</v>
      </c>
      <c r="G36" s="81">
        <f t="shared" si="8"/>
        <v>1105</v>
      </c>
      <c r="H36" s="96">
        <f t="shared" si="8"/>
        <v>1042</v>
      </c>
      <c r="I36" s="93">
        <f t="shared" si="8"/>
        <v>1206</v>
      </c>
      <c r="J36" s="96">
        <f t="shared" si="8"/>
        <v>1065</v>
      </c>
      <c r="K36" s="93">
        <f t="shared" si="8"/>
        <v>1687</v>
      </c>
      <c r="L36" s="96">
        <f t="shared" si="8"/>
        <v>1500</v>
      </c>
      <c r="M36" s="81">
        <f t="shared" si="8"/>
        <v>14322</v>
      </c>
    </row>
    <row r="37" spans="1:12" ht="15.75">
      <c r="A37" s="3"/>
      <c r="B37" s="93"/>
      <c r="C37" s="96"/>
      <c r="D37" s="93"/>
      <c r="E37" s="96"/>
      <c r="F37" s="93"/>
      <c r="G37" s="81"/>
      <c r="H37" s="96"/>
      <c r="I37" s="93"/>
      <c r="J37" s="96"/>
      <c r="K37" s="93"/>
      <c r="L37" s="96"/>
    </row>
    <row r="38" spans="1:13" ht="15.75">
      <c r="A38" s="3" t="s">
        <v>29</v>
      </c>
      <c r="B38" s="93">
        <v>1291336</v>
      </c>
      <c r="C38" s="96">
        <v>1300329</v>
      </c>
      <c r="D38" s="93">
        <v>1311666</v>
      </c>
      <c r="E38" s="96">
        <v>1320413</v>
      </c>
      <c r="F38" s="93">
        <v>1333248</v>
      </c>
      <c r="G38" s="81">
        <v>1341900</v>
      </c>
      <c r="H38" s="96">
        <v>1345511</v>
      </c>
      <c r="I38" s="93">
        <v>1358065</v>
      </c>
      <c r="J38" s="96">
        <v>1367190</v>
      </c>
      <c r="K38" s="93">
        <v>1378673</v>
      </c>
      <c r="L38" s="96">
        <v>1387430</v>
      </c>
      <c r="M38" s="81">
        <f>SUM(B38:L38)</f>
        <v>14735761</v>
      </c>
    </row>
    <row r="39" spans="1:13" ht="15.75">
      <c r="A39" s="3" t="s">
        <v>30</v>
      </c>
      <c r="B39" s="93">
        <v>1300327</v>
      </c>
      <c r="C39" s="96">
        <v>1311663</v>
      </c>
      <c r="D39" s="93">
        <v>1320410</v>
      </c>
      <c r="E39" s="96">
        <v>1333240</v>
      </c>
      <c r="F39" s="93">
        <v>1341897</v>
      </c>
      <c r="G39" s="81">
        <v>1345509</v>
      </c>
      <c r="H39" s="96">
        <v>1358058</v>
      </c>
      <c r="I39" s="93">
        <v>1367186</v>
      </c>
      <c r="J39" s="96">
        <v>1378670</v>
      </c>
      <c r="K39" s="93">
        <v>1387428</v>
      </c>
      <c r="L39" s="96">
        <v>1399344</v>
      </c>
      <c r="M39" s="81">
        <f>SUM(B39:L39)</f>
        <v>14843732</v>
      </c>
    </row>
    <row r="40" spans="1:13" ht="15.75">
      <c r="A40" s="3" t="s">
        <v>24</v>
      </c>
      <c r="B40" s="93">
        <f>B39-B38</f>
        <v>8991</v>
      </c>
      <c r="C40" s="96">
        <f aca="true" t="shared" si="9" ref="C40:M40">C39-C38</f>
        <v>11334</v>
      </c>
      <c r="D40" s="93">
        <f t="shared" si="9"/>
        <v>8744</v>
      </c>
      <c r="E40" s="96">
        <f t="shared" si="9"/>
        <v>12827</v>
      </c>
      <c r="F40" s="93">
        <f t="shared" si="9"/>
        <v>8649</v>
      </c>
      <c r="G40" s="81">
        <f t="shared" si="9"/>
        <v>3609</v>
      </c>
      <c r="H40" s="96">
        <f t="shared" si="9"/>
        <v>12547</v>
      </c>
      <c r="I40" s="93">
        <f t="shared" si="9"/>
        <v>9121</v>
      </c>
      <c r="J40" s="96">
        <f t="shared" si="9"/>
        <v>11480</v>
      </c>
      <c r="K40" s="93">
        <f t="shared" si="9"/>
        <v>8755</v>
      </c>
      <c r="L40" s="96">
        <f t="shared" si="9"/>
        <v>11914</v>
      </c>
      <c r="M40" s="81">
        <f t="shared" si="9"/>
        <v>107971</v>
      </c>
    </row>
    <row r="41" spans="1:12" ht="15.75">
      <c r="A41" s="3"/>
      <c r="B41" s="94"/>
      <c r="C41" s="97"/>
      <c r="D41" s="94"/>
      <c r="E41" s="97"/>
      <c r="F41" s="94"/>
      <c r="H41" s="97"/>
      <c r="I41" s="94"/>
      <c r="J41" s="97"/>
      <c r="K41" s="94"/>
      <c r="L41" s="97"/>
    </row>
    <row r="42" spans="1:13" ht="15.75">
      <c r="A42" s="3" t="s">
        <v>31</v>
      </c>
      <c r="B42" s="95">
        <f>B36/B40</f>
        <v>0.10688466244021799</v>
      </c>
      <c r="C42" s="98">
        <f aca="true" t="shared" si="10" ref="C42:M42">C36/C40</f>
        <v>0.0706723133933298</v>
      </c>
      <c r="D42" s="95">
        <f t="shared" si="10"/>
        <v>0.14741537053979872</v>
      </c>
      <c r="E42" s="98">
        <f t="shared" si="10"/>
        <v>0.1958369065252982</v>
      </c>
      <c r="F42" s="95">
        <f t="shared" si="10"/>
        <v>0.13342582957567348</v>
      </c>
      <c r="G42" s="82">
        <f t="shared" si="10"/>
        <v>0.3061789969520643</v>
      </c>
      <c r="H42" s="98">
        <f t="shared" si="10"/>
        <v>0.08304774049573603</v>
      </c>
      <c r="I42" s="95">
        <f t="shared" si="10"/>
        <v>0.13222234404122354</v>
      </c>
      <c r="J42" s="98">
        <f t="shared" si="10"/>
        <v>0.09277003484320558</v>
      </c>
      <c r="K42" s="95">
        <f t="shared" si="10"/>
        <v>0.1926898914905768</v>
      </c>
      <c r="L42" s="98">
        <f t="shared" si="10"/>
        <v>0.1259022998153433</v>
      </c>
      <c r="M42" s="82">
        <f t="shared" si="10"/>
        <v>0.13264672921432608</v>
      </c>
    </row>
  </sheetData>
  <printOptions horizontalCentered="1"/>
  <pageMargins left="0.5" right="0.5" top="1" bottom="1" header="0.5" footer="0.5"/>
  <pageSetup fitToHeight="1" fitToWidth="1"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42"/>
  <sheetViews>
    <sheetView tabSelected="1" zoomScale="85" zoomScaleNormal="85" workbookViewId="0" topLeftCell="A1">
      <pane xSplit="1" topLeftCell="B1" activePane="topRight" state="frozen"/>
      <selection pane="topLeft" activeCell="A2" sqref="A2"/>
      <selection pane="topRight" activeCell="M21" sqref="M21"/>
    </sheetView>
  </sheetViews>
  <sheetFormatPr defaultColWidth="11.00390625" defaultRowHeight="12.75"/>
  <cols>
    <col min="1" max="1" width="22.75390625" style="1" customWidth="1"/>
    <col min="2" max="11" width="11.375" style="1" customWidth="1"/>
    <col min="12" max="12" width="14.875" style="1" customWidth="1"/>
    <col min="13" max="16384" width="10.75390625" style="1" customWidth="1"/>
  </cols>
  <sheetData>
    <row r="1" spans="1:12" ht="22.5">
      <c r="A1" s="14" t="s">
        <v>0</v>
      </c>
      <c r="B1" s="109">
        <v>37652</v>
      </c>
      <c r="C1" s="15" t="s">
        <v>75</v>
      </c>
      <c r="D1" s="15"/>
      <c r="E1" s="15"/>
      <c r="F1" s="15"/>
      <c r="G1" s="15"/>
      <c r="H1" s="15"/>
      <c r="I1" s="15"/>
      <c r="J1" s="15"/>
      <c r="K1" s="16"/>
      <c r="L1" s="16"/>
    </row>
    <row r="2" spans="1:12" ht="9.75" customHeight="1">
      <c r="A2" s="17"/>
      <c r="B2" s="77"/>
      <c r="C2" s="13"/>
      <c r="D2" s="13"/>
      <c r="E2" s="13"/>
      <c r="F2" s="13"/>
      <c r="G2" s="13"/>
      <c r="H2" s="13"/>
      <c r="I2" s="13"/>
      <c r="J2" s="13"/>
      <c r="K2" s="18"/>
      <c r="L2" s="18"/>
    </row>
    <row r="3" spans="1:12" ht="16.5" customHeight="1">
      <c r="A3" s="19" t="s">
        <v>1</v>
      </c>
      <c r="B3" s="34">
        <v>37651</v>
      </c>
      <c r="C3" s="34">
        <v>37651</v>
      </c>
      <c r="D3" s="34">
        <v>37652</v>
      </c>
      <c r="E3" s="34">
        <v>37652</v>
      </c>
      <c r="F3" s="34">
        <v>37656</v>
      </c>
      <c r="G3" s="34">
        <v>37656</v>
      </c>
      <c r="H3" s="34">
        <v>37657</v>
      </c>
      <c r="I3" s="34">
        <v>37657</v>
      </c>
      <c r="J3" s="34">
        <v>37658</v>
      </c>
      <c r="K3" s="73">
        <v>37658</v>
      </c>
      <c r="L3" s="74" t="s">
        <v>24</v>
      </c>
    </row>
    <row r="4" spans="1:12" ht="16.5" customHeight="1">
      <c r="A4" s="19" t="s">
        <v>2</v>
      </c>
      <c r="B4" s="8">
        <v>0.3159722222222222</v>
      </c>
      <c r="C4" s="8">
        <v>0.2881944444444445</v>
      </c>
      <c r="D4" s="8">
        <v>0.2263888888888889</v>
      </c>
      <c r="E4" s="8">
        <v>0.5159722222222222</v>
      </c>
      <c r="F4" s="8">
        <v>0.2916666666666667</v>
      </c>
      <c r="G4" s="8">
        <v>0.26875</v>
      </c>
      <c r="H4" s="8">
        <v>0.3020833333333333</v>
      </c>
      <c r="I4" s="8">
        <v>0.2590277777777778</v>
      </c>
      <c r="J4" s="8">
        <v>0.3048611111111111</v>
      </c>
      <c r="K4" s="36">
        <v>0.3194444444444445</v>
      </c>
      <c r="L4" s="36"/>
    </row>
    <row r="5" spans="1:12" ht="16.5" customHeight="1">
      <c r="A5" s="19" t="s">
        <v>3</v>
      </c>
      <c r="B5" s="8">
        <v>0.3527777777777778</v>
      </c>
      <c r="C5" s="8">
        <v>0.32430555555555557</v>
      </c>
      <c r="D5" s="8">
        <v>0.2659722222222222</v>
      </c>
      <c r="E5" s="8">
        <v>0.5472222222222222</v>
      </c>
      <c r="F5" s="8">
        <v>0.3333333333333333</v>
      </c>
      <c r="G5" s="8">
        <v>0.30833333333333335</v>
      </c>
      <c r="H5" s="8">
        <v>0.34375</v>
      </c>
      <c r="I5" s="8">
        <v>0.3194444444444445</v>
      </c>
      <c r="J5" s="8">
        <v>0.3548611111111111</v>
      </c>
      <c r="K5" s="36">
        <v>0.3513888888888889</v>
      </c>
      <c r="L5" s="36"/>
    </row>
    <row r="6" spans="1:12" ht="16.5" customHeight="1">
      <c r="A6" s="21"/>
      <c r="B6" s="5"/>
      <c r="C6" s="6"/>
      <c r="D6" s="5"/>
      <c r="E6" s="5"/>
      <c r="F6" s="5"/>
      <c r="G6" s="5"/>
      <c r="H6" s="5"/>
      <c r="I6" s="5"/>
      <c r="J6" s="5"/>
      <c r="K6" s="22"/>
      <c r="L6" s="22"/>
    </row>
    <row r="7" spans="1:12" ht="16.5" customHeight="1">
      <c r="A7" s="19" t="s">
        <v>14</v>
      </c>
      <c r="B7" s="39">
        <v>0</v>
      </c>
      <c r="C7" s="39">
        <v>45</v>
      </c>
      <c r="D7" s="39">
        <v>0</v>
      </c>
      <c r="E7" s="39">
        <v>43.6</v>
      </c>
      <c r="F7" s="39">
        <v>0</v>
      </c>
      <c r="G7" s="39">
        <v>43.6</v>
      </c>
      <c r="H7" s="39">
        <v>0</v>
      </c>
      <c r="I7" s="39">
        <v>43.6</v>
      </c>
      <c r="J7" s="39">
        <v>0</v>
      </c>
      <c r="K7" s="40">
        <v>45.1</v>
      </c>
      <c r="L7" s="40"/>
    </row>
    <row r="8" spans="1:12" ht="16.5" customHeight="1">
      <c r="A8" s="19" t="s">
        <v>15</v>
      </c>
      <c r="B8" s="7">
        <v>43.6</v>
      </c>
      <c r="C8" s="7">
        <v>88.6</v>
      </c>
      <c r="D8" s="7">
        <v>43.6</v>
      </c>
      <c r="E8" s="7">
        <v>87.1</v>
      </c>
      <c r="F8" s="7">
        <v>43.6</v>
      </c>
      <c r="G8" s="7">
        <v>87.1</v>
      </c>
      <c r="H8" s="7">
        <v>43.6</v>
      </c>
      <c r="I8" s="7">
        <v>87.1</v>
      </c>
      <c r="J8" s="7">
        <v>43.6</v>
      </c>
      <c r="K8" s="20">
        <v>88.7</v>
      </c>
      <c r="L8" s="20"/>
    </row>
    <row r="9" spans="1:12" ht="16.5" customHeight="1">
      <c r="A9" s="21"/>
      <c r="B9" s="5"/>
      <c r="C9" s="5"/>
      <c r="D9" s="5"/>
      <c r="E9" s="5"/>
      <c r="F9" s="5"/>
      <c r="G9" s="5"/>
      <c r="H9" s="5"/>
      <c r="I9" s="5"/>
      <c r="J9" s="5"/>
      <c r="K9" s="22"/>
      <c r="L9" s="22"/>
    </row>
    <row r="10" spans="1:12" ht="16.5" customHeight="1">
      <c r="A10" s="19" t="s">
        <v>7</v>
      </c>
      <c r="B10" s="7">
        <v>978714</v>
      </c>
      <c r="C10" s="7">
        <v>978813</v>
      </c>
      <c r="D10" s="7">
        <v>991904</v>
      </c>
      <c r="E10" s="7">
        <v>990397</v>
      </c>
      <c r="F10" s="7">
        <v>1002537</v>
      </c>
      <c r="G10" s="7">
        <v>1000285</v>
      </c>
      <c r="H10" s="7">
        <v>1010797</v>
      </c>
      <c r="I10" s="7">
        <v>1011287</v>
      </c>
      <c r="J10" s="7">
        <v>1023231</v>
      </c>
      <c r="K10" s="20">
        <v>1022627</v>
      </c>
      <c r="L10" s="20"/>
    </row>
    <row r="11" spans="1:12" ht="16.5" customHeight="1">
      <c r="A11" s="19" t="s">
        <v>6</v>
      </c>
      <c r="B11" s="7">
        <v>988180</v>
      </c>
      <c r="C11" s="7">
        <v>991961</v>
      </c>
      <c r="D11" s="7">
        <v>1000117</v>
      </c>
      <c r="E11" s="7">
        <v>1002448</v>
      </c>
      <c r="F11" s="7">
        <v>1010003</v>
      </c>
      <c r="G11" s="7">
        <v>1010778</v>
      </c>
      <c r="H11" s="7">
        <v>1018518</v>
      </c>
      <c r="I11" s="7">
        <v>1023224</v>
      </c>
      <c r="J11" s="7">
        <v>1030995</v>
      </c>
      <c r="K11" s="20">
        <v>1035182</v>
      </c>
      <c r="L11" s="20"/>
    </row>
    <row r="12" spans="1:12" ht="16.5" customHeight="1">
      <c r="A12" s="21"/>
      <c r="B12" s="5"/>
      <c r="C12" s="5"/>
      <c r="D12" s="5"/>
      <c r="E12" s="5"/>
      <c r="F12" s="5"/>
      <c r="G12" s="5"/>
      <c r="H12" s="5"/>
      <c r="I12" s="5"/>
      <c r="J12" s="5"/>
      <c r="K12" s="22"/>
      <c r="L12" s="22"/>
    </row>
    <row r="13" spans="1:12" ht="16.5" customHeight="1">
      <c r="A13" s="19" t="s">
        <v>4</v>
      </c>
      <c r="B13" s="9">
        <v>0.955</v>
      </c>
      <c r="C13" s="9">
        <v>0.888</v>
      </c>
      <c r="D13" s="9">
        <v>0.905</v>
      </c>
      <c r="E13" s="9">
        <v>0.909</v>
      </c>
      <c r="F13" s="9">
        <v>0.858</v>
      </c>
      <c r="G13" s="9">
        <v>0.886</v>
      </c>
      <c r="H13" s="9">
        <v>0.949</v>
      </c>
      <c r="I13" s="9">
        <v>0.881</v>
      </c>
      <c r="J13" s="9">
        <v>0.969</v>
      </c>
      <c r="K13" s="37">
        <v>0.93</v>
      </c>
      <c r="L13" s="37"/>
    </row>
    <row r="14" spans="1:12" ht="16.5" customHeight="1">
      <c r="A14" s="19" t="s">
        <v>5</v>
      </c>
      <c r="B14" s="9">
        <v>0.579</v>
      </c>
      <c r="C14" s="9">
        <v>0.355</v>
      </c>
      <c r="D14" s="9">
        <v>0.58</v>
      </c>
      <c r="E14" s="9">
        <v>0.429</v>
      </c>
      <c r="F14" s="9">
        <v>0.565</v>
      </c>
      <c r="G14" s="9">
        <v>0.482</v>
      </c>
      <c r="H14" s="9">
        <v>0.649</v>
      </c>
      <c r="I14" s="9">
        <v>0.41</v>
      </c>
      <c r="J14" s="9">
        <v>0.668</v>
      </c>
      <c r="K14" s="37">
        <v>0.435</v>
      </c>
      <c r="L14" s="37"/>
    </row>
    <row r="15" spans="1:12" ht="16.5" customHeight="1">
      <c r="A15" s="21"/>
      <c r="B15" s="4"/>
      <c r="C15" s="4"/>
      <c r="D15" s="4"/>
      <c r="E15" s="4"/>
      <c r="F15" s="4"/>
      <c r="G15" s="4"/>
      <c r="H15" s="4"/>
      <c r="I15" s="4"/>
      <c r="J15" s="4"/>
      <c r="K15" s="23"/>
      <c r="L15" s="23"/>
    </row>
    <row r="16" spans="1:12" ht="16.5" customHeight="1">
      <c r="A16" s="24" t="s">
        <v>10</v>
      </c>
      <c r="B16" s="11">
        <f aca="true" t="shared" si="0" ref="B16:K16">((B5-B4)/0.04166666667)*60</f>
        <v>52.99999999576006</v>
      </c>
      <c r="C16" s="11">
        <f t="shared" si="0"/>
        <v>51.99999999583998</v>
      </c>
      <c r="D16" s="11">
        <f t="shared" si="0"/>
        <v>56.99999999544</v>
      </c>
      <c r="E16" s="11">
        <f t="shared" si="0"/>
        <v>44.9999999964</v>
      </c>
      <c r="F16" s="11">
        <f t="shared" si="0"/>
        <v>59.99999999519995</v>
      </c>
      <c r="G16" s="11">
        <f t="shared" si="0"/>
        <v>56.999999995440035</v>
      </c>
      <c r="H16" s="11">
        <f t="shared" si="0"/>
        <v>59.999999995200035</v>
      </c>
      <c r="I16" s="11">
        <f t="shared" si="0"/>
        <v>86.99999999304002</v>
      </c>
      <c r="J16" s="11">
        <f t="shared" si="0"/>
        <v>71.99999999424007</v>
      </c>
      <c r="K16" s="11">
        <f t="shared" si="0"/>
        <v>45.99999999632</v>
      </c>
      <c r="L16" s="120">
        <f>SUM(B16:K16)</f>
        <v>588.9999999528801</v>
      </c>
    </row>
    <row r="17" spans="1:12" ht="16.5" customHeight="1">
      <c r="A17" s="26" t="s">
        <v>8</v>
      </c>
      <c r="B17" s="10">
        <f aca="true" t="shared" si="1" ref="B17:K17">B8-B7</f>
        <v>43.6</v>
      </c>
      <c r="C17" s="10">
        <f t="shared" si="1"/>
        <v>43.599999999999994</v>
      </c>
      <c r="D17" s="10">
        <f t="shared" si="1"/>
        <v>43.6</v>
      </c>
      <c r="E17" s="10">
        <f t="shared" si="1"/>
        <v>43.49999999999999</v>
      </c>
      <c r="F17" s="10">
        <f t="shared" si="1"/>
        <v>43.6</v>
      </c>
      <c r="G17" s="10">
        <f t="shared" si="1"/>
        <v>43.49999999999999</v>
      </c>
      <c r="H17" s="10">
        <f t="shared" si="1"/>
        <v>43.6</v>
      </c>
      <c r="I17" s="10">
        <f t="shared" si="1"/>
        <v>43.49999999999999</v>
      </c>
      <c r="J17" s="10">
        <f t="shared" si="1"/>
        <v>43.6</v>
      </c>
      <c r="K17" s="10">
        <f t="shared" si="1"/>
        <v>43.6</v>
      </c>
      <c r="L17" s="121">
        <f>SUM(B17:K17)</f>
        <v>435.70000000000005</v>
      </c>
    </row>
    <row r="18" spans="1:12" ht="16.5" customHeight="1">
      <c r="A18" s="28" t="s">
        <v>12</v>
      </c>
      <c r="B18" s="12">
        <f aca="true" t="shared" si="2" ref="B18:K18">B11-B10</f>
        <v>9466</v>
      </c>
      <c r="C18" s="12">
        <f t="shared" si="2"/>
        <v>13148</v>
      </c>
      <c r="D18" s="12">
        <f t="shared" si="2"/>
        <v>8213</v>
      </c>
      <c r="E18" s="12">
        <f t="shared" si="2"/>
        <v>12051</v>
      </c>
      <c r="F18" s="10">
        <f t="shared" si="2"/>
        <v>7466</v>
      </c>
      <c r="G18" s="10">
        <f t="shared" si="2"/>
        <v>10493</v>
      </c>
      <c r="H18" s="10">
        <f t="shared" si="2"/>
        <v>7721</v>
      </c>
      <c r="I18" s="12">
        <f t="shared" si="2"/>
        <v>11937</v>
      </c>
      <c r="J18" s="10">
        <f t="shared" si="2"/>
        <v>7764</v>
      </c>
      <c r="K18" s="12">
        <f t="shared" si="2"/>
        <v>12555</v>
      </c>
      <c r="L18" s="122">
        <f>SUM(B18:K18)</f>
        <v>100814</v>
      </c>
    </row>
    <row r="19" spans="1:12" ht="16.5" customHeight="1">
      <c r="A19" s="21" t="s">
        <v>20</v>
      </c>
      <c r="B19" s="45" t="s">
        <v>17</v>
      </c>
      <c r="C19" s="46" t="s">
        <v>18</v>
      </c>
      <c r="D19" s="45" t="s">
        <v>17</v>
      </c>
      <c r="E19" s="60" t="s">
        <v>18</v>
      </c>
      <c r="F19" s="67" t="s">
        <v>17</v>
      </c>
      <c r="G19" s="68" t="s">
        <v>18</v>
      </c>
      <c r="H19" s="67" t="s">
        <v>17</v>
      </c>
      <c r="I19" s="60" t="s">
        <v>18</v>
      </c>
      <c r="J19" s="67" t="s">
        <v>17</v>
      </c>
      <c r="K19" s="58" t="s">
        <v>18</v>
      </c>
      <c r="L19" s="59" t="s">
        <v>24</v>
      </c>
    </row>
    <row r="20" spans="1:12" s="2" customFormat="1" ht="16.5" customHeight="1">
      <c r="A20" s="41" t="s">
        <v>9</v>
      </c>
      <c r="B20" s="47">
        <f aca="true" t="shared" si="3" ref="B20:L20">B17/(B16/60)</f>
        <v>49.358490569986365</v>
      </c>
      <c r="C20" s="48">
        <f t="shared" si="3"/>
        <v>50.30769231171694</v>
      </c>
      <c r="D20" s="47">
        <f t="shared" si="3"/>
        <v>45.89473684577685</v>
      </c>
      <c r="E20" s="48">
        <f t="shared" si="3"/>
        <v>58.00000000463999</v>
      </c>
      <c r="F20" s="63">
        <f t="shared" si="3"/>
        <v>43.600000003488034</v>
      </c>
      <c r="G20" s="48">
        <f t="shared" si="3"/>
        <v>45.789473687873645</v>
      </c>
      <c r="H20" s="63">
        <f t="shared" si="3"/>
        <v>43.60000000348798</v>
      </c>
      <c r="I20" s="48">
        <f t="shared" si="3"/>
        <v>30.00000000239999</v>
      </c>
      <c r="J20" s="63">
        <f t="shared" si="3"/>
        <v>36.33333333623997</v>
      </c>
      <c r="K20" s="30">
        <f t="shared" si="3"/>
        <v>56.869565221940874</v>
      </c>
      <c r="L20" s="30">
        <f t="shared" si="3"/>
        <v>44.3837011920057</v>
      </c>
    </row>
    <row r="21" spans="1:12" s="2" customFormat="1" ht="16.5" customHeight="1">
      <c r="A21" s="42" t="s">
        <v>11</v>
      </c>
      <c r="B21" s="49">
        <f aca="true" t="shared" si="4" ref="B21:K21">B13-B14</f>
        <v>0.376</v>
      </c>
      <c r="C21" s="50">
        <f t="shared" si="4"/>
        <v>0.533</v>
      </c>
      <c r="D21" s="49">
        <f t="shared" si="4"/>
        <v>0.32500000000000007</v>
      </c>
      <c r="E21" s="50">
        <f t="shared" si="4"/>
        <v>0.48000000000000004</v>
      </c>
      <c r="F21" s="62">
        <f t="shared" si="4"/>
        <v>0.29300000000000004</v>
      </c>
      <c r="G21" s="50">
        <f t="shared" si="4"/>
        <v>0.404</v>
      </c>
      <c r="H21" s="62">
        <f t="shared" si="4"/>
        <v>0.29999999999999993</v>
      </c>
      <c r="I21" s="50">
        <f t="shared" si="4"/>
        <v>0.47100000000000003</v>
      </c>
      <c r="J21" s="62">
        <f t="shared" si="4"/>
        <v>0.30099999999999993</v>
      </c>
      <c r="K21" s="31">
        <f t="shared" si="4"/>
        <v>0.49500000000000005</v>
      </c>
      <c r="L21" s="31">
        <f>SUM(B21:K21)</f>
        <v>3.9779999999999998</v>
      </c>
    </row>
    <row r="22" spans="1:12" s="2" customFormat="1" ht="16.5" customHeight="1">
      <c r="A22" s="42" t="s">
        <v>13</v>
      </c>
      <c r="B22" s="51">
        <f aca="true" t="shared" si="5" ref="B22:L22">B18/B17</f>
        <v>217.11009174311926</v>
      </c>
      <c r="C22" s="52">
        <f t="shared" si="5"/>
        <v>301.559633027523</v>
      </c>
      <c r="D22" s="51">
        <f t="shared" si="5"/>
        <v>188.37155963302752</v>
      </c>
      <c r="E22" s="52">
        <f t="shared" si="5"/>
        <v>277.03448275862075</v>
      </c>
      <c r="F22" s="63">
        <f t="shared" si="5"/>
        <v>171.23853211009174</v>
      </c>
      <c r="G22" s="52">
        <f t="shared" si="5"/>
        <v>241.21839080459773</v>
      </c>
      <c r="H22" s="63">
        <f t="shared" si="5"/>
        <v>177.08715596330273</v>
      </c>
      <c r="I22" s="52">
        <f t="shared" si="5"/>
        <v>274.4137931034483</v>
      </c>
      <c r="J22" s="63">
        <f t="shared" si="5"/>
        <v>178.07339449541283</v>
      </c>
      <c r="K22" s="32">
        <f t="shared" si="5"/>
        <v>287.95871559633025</v>
      </c>
      <c r="L22" s="32">
        <f t="shared" si="5"/>
        <v>231.38397980261647</v>
      </c>
    </row>
    <row r="23" spans="1:12" s="2" customFormat="1" ht="16.5" customHeight="1">
      <c r="A23" s="42" t="s">
        <v>36</v>
      </c>
      <c r="B23" s="63">
        <f aca="true" t="shared" si="6" ref="B23:L23">B17/B21</f>
        <v>115.95744680851064</v>
      </c>
      <c r="C23" s="52">
        <f t="shared" si="6"/>
        <v>81.80112570356471</v>
      </c>
      <c r="D23" s="63">
        <f t="shared" si="6"/>
        <v>134.15384615384613</v>
      </c>
      <c r="E23" s="52">
        <f t="shared" si="6"/>
        <v>90.62499999999997</v>
      </c>
      <c r="F23" s="63">
        <f t="shared" si="6"/>
        <v>148.80546075085323</v>
      </c>
      <c r="G23" s="52">
        <f t="shared" si="6"/>
        <v>107.67326732673264</v>
      </c>
      <c r="H23" s="63">
        <f t="shared" si="6"/>
        <v>145.33333333333337</v>
      </c>
      <c r="I23" s="52">
        <f t="shared" si="6"/>
        <v>92.35668789808915</v>
      </c>
      <c r="J23" s="63">
        <f t="shared" si="6"/>
        <v>144.85049833887047</v>
      </c>
      <c r="K23" s="52">
        <f t="shared" si="6"/>
        <v>88.08080808080807</v>
      </c>
      <c r="L23" s="32">
        <f t="shared" si="6"/>
        <v>109.52740070387131</v>
      </c>
    </row>
    <row r="24" spans="1:12" s="2" customFormat="1" ht="16.5" customHeight="1" thickBot="1">
      <c r="A24" s="43" t="s">
        <v>16</v>
      </c>
      <c r="B24" s="53">
        <f aca="true" t="shared" si="7" ref="B24:L24">(B18/1000)/(B21)</f>
        <v>25.175531914893615</v>
      </c>
      <c r="C24" s="54">
        <f t="shared" si="7"/>
        <v>24.66791744840525</v>
      </c>
      <c r="D24" s="53">
        <f t="shared" si="7"/>
        <v>25.270769230769222</v>
      </c>
      <c r="E24" s="54">
        <f t="shared" si="7"/>
        <v>25.10625</v>
      </c>
      <c r="F24" s="64">
        <f t="shared" si="7"/>
        <v>25.481228668941977</v>
      </c>
      <c r="G24" s="54">
        <f t="shared" si="7"/>
        <v>25.972772277227723</v>
      </c>
      <c r="H24" s="64">
        <f t="shared" si="7"/>
        <v>25.73666666666667</v>
      </c>
      <c r="I24" s="54">
        <f t="shared" si="7"/>
        <v>25.343949044585983</v>
      </c>
      <c r="J24" s="53">
        <f t="shared" si="7"/>
        <v>25.794019933554825</v>
      </c>
      <c r="K24" s="33">
        <f t="shared" si="7"/>
        <v>25.36363636363636</v>
      </c>
      <c r="L24" s="112">
        <f t="shared" si="7"/>
        <v>25.342885872297636</v>
      </c>
    </row>
    <row r="25" spans="1:12" ht="16.5" customHeight="1" thickBot="1">
      <c r="A25" s="38"/>
      <c r="B25" s="78"/>
      <c r="C25" s="56" t="s">
        <v>19</v>
      </c>
      <c r="D25" s="78"/>
      <c r="E25" s="65" t="s">
        <v>19</v>
      </c>
      <c r="F25" s="78"/>
      <c r="G25" s="72" t="s">
        <v>19</v>
      </c>
      <c r="H25" s="78"/>
      <c r="I25" s="56" t="s">
        <v>19</v>
      </c>
      <c r="J25" s="78"/>
      <c r="K25" s="59" t="s">
        <v>19</v>
      </c>
      <c r="L25" s="59"/>
    </row>
    <row r="26" spans="1:12" ht="16.5" customHeight="1" thickBot="1">
      <c r="A26" s="44" t="s">
        <v>8</v>
      </c>
      <c r="B26" s="87"/>
      <c r="C26" s="57">
        <f>C17+B17</f>
        <v>87.19999999999999</v>
      </c>
      <c r="D26" s="87"/>
      <c r="E26" s="66">
        <f>E17+D17</f>
        <v>87.1</v>
      </c>
      <c r="F26" s="116" t="s">
        <v>77</v>
      </c>
      <c r="G26" s="57">
        <f>G17+F17</f>
        <v>87.1</v>
      </c>
      <c r="H26" s="116" t="s">
        <v>76</v>
      </c>
      <c r="I26" s="57">
        <f>I17+H17</f>
        <v>87.1</v>
      </c>
      <c r="J26" s="83"/>
      <c r="K26" s="57">
        <f>K17+J17</f>
        <v>87.2</v>
      </c>
      <c r="L26" s="79" t="s">
        <v>26</v>
      </c>
    </row>
    <row r="27" spans="1:12" ht="16.5" customHeight="1" thickBot="1">
      <c r="A27" s="42" t="s">
        <v>9</v>
      </c>
      <c r="B27" s="88"/>
      <c r="C27" s="52">
        <f>(B17+C17)/((B16+C16)/60)</f>
        <v>49.82857143255769</v>
      </c>
      <c r="D27" s="88"/>
      <c r="E27" s="63">
        <f>(D17+E17)/((D16+E16)/60)</f>
        <v>51.23529412174587</v>
      </c>
      <c r="F27" s="117"/>
      <c r="G27" s="52">
        <f>(F17+G17)/((F16+G16)/60)</f>
        <v>44.66666667024</v>
      </c>
      <c r="H27" s="117"/>
      <c r="I27" s="52">
        <f>(H17+I17)/((H16+I16)/60)</f>
        <v>35.55102041100733</v>
      </c>
      <c r="J27" s="84"/>
      <c r="K27" s="52">
        <f>(J17+K17)/((J16+K16)/60)</f>
        <v>44.338983054394554</v>
      </c>
      <c r="L27" s="80">
        <f>L17/L21</f>
        <v>109.52740070387131</v>
      </c>
    </row>
    <row r="28" spans="1:12" ht="16.5" customHeight="1" thickBot="1">
      <c r="A28" s="42" t="s">
        <v>11</v>
      </c>
      <c r="B28" s="88"/>
      <c r="C28" s="50">
        <f>B21+C21</f>
        <v>0.909</v>
      </c>
      <c r="D28" s="88"/>
      <c r="E28" s="62">
        <f>D21+E21</f>
        <v>0.8050000000000002</v>
      </c>
      <c r="F28" s="117"/>
      <c r="G28" s="50">
        <f>F21+G21</f>
        <v>0.6970000000000001</v>
      </c>
      <c r="H28" s="117"/>
      <c r="I28" s="50">
        <f>H21+I21</f>
        <v>0.7709999999999999</v>
      </c>
      <c r="J28" s="84"/>
      <c r="K28" s="50">
        <f>J21+K21</f>
        <v>0.796</v>
      </c>
      <c r="L28" s="91"/>
    </row>
    <row r="29" spans="1:12" ht="16.5" customHeight="1" thickBot="1">
      <c r="A29" s="42" t="s">
        <v>13</v>
      </c>
      <c r="B29" s="88"/>
      <c r="C29" s="52">
        <f>(B18+C18)/(B17+C17)</f>
        <v>259.3348623853211</v>
      </c>
      <c r="D29" s="88"/>
      <c r="E29" s="63">
        <f>(D18+E18)/(D17+E17)</f>
        <v>232.6521239954076</v>
      </c>
      <c r="F29" s="117"/>
      <c r="G29" s="52">
        <f>(F18+G18)/(F17+G17)</f>
        <v>206.1882893226177</v>
      </c>
      <c r="H29" s="117"/>
      <c r="I29" s="52">
        <f>(H18+I18)/(H17+I17)</f>
        <v>225.69460390355914</v>
      </c>
      <c r="J29" s="84"/>
      <c r="K29" s="52">
        <f>(J18+K18)/(J17+K17)</f>
        <v>233.01605504587155</v>
      </c>
      <c r="L29" s="90" t="s">
        <v>37</v>
      </c>
    </row>
    <row r="30" spans="1:12" ht="16.5" customHeight="1" thickBot="1">
      <c r="A30" s="42" t="s">
        <v>36</v>
      </c>
      <c r="B30" s="88"/>
      <c r="C30" s="52">
        <f>C26/C28</f>
        <v>95.92959295929592</v>
      </c>
      <c r="D30" s="88"/>
      <c r="E30" s="52">
        <f>E26/E28</f>
        <v>108.19875776397512</v>
      </c>
      <c r="F30" s="117"/>
      <c r="G30" s="52">
        <f>G26/G28</f>
        <v>124.9641319942611</v>
      </c>
      <c r="H30" s="117"/>
      <c r="I30" s="52">
        <f>I26/I28</f>
        <v>112.97016861219197</v>
      </c>
      <c r="J30" s="84"/>
      <c r="K30" s="52">
        <f>K26/K28</f>
        <v>109.54773869346734</v>
      </c>
      <c r="L30" s="92">
        <f>G30</f>
        <v>124.9641319942611</v>
      </c>
    </row>
    <row r="31" spans="1:12" ht="16.5" customHeight="1" thickBot="1">
      <c r="A31" s="43" t="s">
        <v>16</v>
      </c>
      <c r="B31" s="89"/>
      <c r="C31" s="54">
        <f>((B18+C18)/1000)/(B21+C21)</f>
        <v>24.877887788778878</v>
      </c>
      <c r="D31" s="89"/>
      <c r="E31" s="64">
        <f>((D18+E18)/1000)/(D21+E21)</f>
        <v>25.17267080745341</v>
      </c>
      <c r="F31" s="118"/>
      <c r="G31" s="54">
        <f>((F18+G18)/1000)/(F21+G21)</f>
        <v>25.766140602582492</v>
      </c>
      <c r="H31" s="118"/>
      <c r="I31" s="54">
        <f>((H18+I18)/1000)/(H21+I21)</f>
        <v>25.496757457846957</v>
      </c>
      <c r="J31" s="85"/>
      <c r="K31" s="54">
        <f>((J18+K18)/1000)/(J21+K21)</f>
        <v>25.526381909547737</v>
      </c>
      <c r="L31" s="33"/>
    </row>
    <row r="32" ht="15.75">
      <c r="A32" s="3"/>
    </row>
    <row r="33" ht="15.75">
      <c r="A33" s="3"/>
    </row>
    <row r="34" spans="1:12" ht="15.75">
      <c r="A34" s="3" t="s">
        <v>27</v>
      </c>
      <c r="B34" s="110">
        <v>536592</v>
      </c>
      <c r="C34" s="111">
        <v>547384</v>
      </c>
      <c r="D34" s="110">
        <v>548283</v>
      </c>
      <c r="E34" s="111">
        <v>559276</v>
      </c>
      <c r="F34" s="110">
        <v>560134</v>
      </c>
      <c r="G34" s="111">
        <v>571553</v>
      </c>
      <c r="H34" s="110">
        <v>572359</v>
      </c>
      <c r="I34" s="111">
        <v>581428</v>
      </c>
      <c r="J34" s="110">
        <v>582844</v>
      </c>
      <c r="K34" s="111">
        <v>593528</v>
      </c>
      <c r="L34" s="81">
        <f>SUM(B34:K34)</f>
        <v>5653381</v>
      </c>
    </row>
    <row r="35" spans="1:12" ht="15.75">
      <c r="A35" s="3" t="s">
        <v>28</v>
      </c>
      <c r="B35" s="110">
        <v>537486</v>
      </c>
      <c r="C35" s="111">
        <v>548217</v>
      </c>
      <c r="D35" s="110">
        <v>549479</v>
      </c>
      <c r="E35" s="111">
        <v>559707</v>
      </c>
      <c r="F35" s="110">
        <v>561809</v>
      </c>
      <c r="G35" s="111">
        <v>572357</v>
      </c>
      <c r="H35" s="110">
        <v>574166</v>
      </c>
      <c r="I35" s="111">
        <v>582843</v>
      </c>
      <c r="J35" s="110">
        <v>584740</v>
      </c>
      <c r="K35" s="111">
        <v>594042</v>
      </c>
      <c r="L35" s="81">
        <f>SUM(B35:K35)</f>
        <v>5664846</v>
      </c>
    </row>
    <row r="36" spans="1:12" ht="15.75">
      <c r="A36" s="3" t="s">
        <v>24</v>
      </c>
      <c r="B36" s="93">
        <f aca="true" t="shared" si="8" ref="B36:L36">B35-B34</f>
        <v>894</v>
      </c>
      <c r="C36" s="96">
        <f t="shared" si="8"/>
        <v>833</v>
      </c>
      <c r="D36" s="93">
        <f t="shared" si="8"/>
        <v>1196</v>
      </c>
      <c r="E36" s="96">
        <f t="shared" si="8"/>
        <v>431</v>
      </c>
      <c r="F36" s="93">
        <f t="shared" si="8"/>
        <v>1675</v>
      </c>
      <c r="G36" s="96">
        <f t="shared" si="8"/>
        <v>804</v>
      </c>
      <c r="H36" s="93">
        <f t="shared" si="8"/>
        <v>1807</v>
      </c>
      <c r="I36" s="96">
        <f t="shared" si="8"/>
        <v>1415</v>
      </c>
      <c r="J36" s="93">
        <f t="shared" si="8"/>
        <v>1896</v>
      </c>
      <c r="K36" s="96">
        <f t="shared" si="8"/>
        <v>514</v>
      </c>
      <c r="L36" s="81">
        <f t="shared" si="8"/>
        <v>11465</v>
      </c>
    </row>
    <row r="37" spans="1:11" ht="15.75">
      <c r="A37" s="3"/>
      <c r="B37" s="93"/>
      <c r="C37" s="96"/>
      <c r="D37" s="93"/>
      <c r="E37" s="96"/>
      <c r="F37" s="93"/>
      <c r="G37" s="96"/>
      <c r="H37" s="93"/>
      <c r="I37" s="96"/>
      <c r="J37" s="93"/>
      <c r="K37" s="96"/>
    </row>
    <row r="38" spans="1:12" ht="15.75">
      <c r="A38" s="3" t="s">
        <v>29</v>
      </c>
      <c r="B38" s="110">
        <v>1515310</v>
      </c>
      <c r="C38" s="111">
        <v>1526200</v>
      </c>
      <c r="D38" s="110">
        <v>1540187</v>
      </c>
      <c r="E38" s="111">
        <v>1549674</v>
      </c>
      <c r="F38" s="110">
        <v>1562673</v>
      </c>
      <c r="G38" s="111">
        <v>1571839</v>
      </c>
      <c r="H38" s="110">
        <v>1583157</v>
      </c>
      <c r="I38" s="111">
        <v>1592718</v>
      </c>
      <c r="J38" s="110">
        <v>1606077</v>
      </c>
      <c r="K38" s="111">
        <v>1616157</v>
      </c>
      <c r="L38" s="81">
        <f>SUM(B38:K38)</f>
        <v>15663992</v>
      </c>
    </row>
    <row r="39" spans="1:12" ht="15.75">
      <c r="A39" s="3" t="s">
        <v>30</v>
      </c>
      <c r="B39" s="110">
        <v>1525667</v>
      </c>
      <c r="C39" s="111">
        <v>1540180</v>
      </c>
      <c r="D39" s="110">
        <v>1549598</v>
      </c>
      <c r="E39" s="111">
        <v>1562155</v>
      </c>
      <c r="F39" s="110">
        <v>1571812</v>
      </c>
      <c r="G39" s="111">
        <v>1583136</v>
      </c>
      <c r="H39" s="110">
        <v>1592685</v>
      </c>
      <c r="I39" s="111">
        <v>1606068</v>
      </c>
      <c r="J39" s="110">
        <v>1615736</v>
      </c>
      <c r="K39" s="111">
        <v>1629225</v>
      </c>
      <c r="L39" s="81">
        <f>SUM(B39:K39)</f>
        <v>15776262</v>
      </c>
    </row>
    <row r="40" spans="1:12" ht="15.75">
      <c r="A40" s="3" t="s">
        <v>24</v>
      </c>
      <c r="B40" s="93">
        <f aca="true" t="shared" si="9" ref="B40:L40">B39-B38</f>
        <v>10357</v>
      </c>
      <c r="C40" s="96">
        <f t="shared" si="9"/>
        <v>13980</v>
      </c>
      <c r="D40" s="93">
        <f t="shared" si="9"/>
        <v>9411</v>
      </c>
      <c r="E40" s="96">
        <f t="shared" si="9"/>
        <v>12481</v>
      </c>
      <c r="F40" s="93">
        <f t="shared" si="9"/>
        <v>9139</v>
      </c>
      <c r="G40" s="96">
        <f t="shared" si="9"/>
        <v>11297</v>
      </c>
      <c r="H40" s="93">
        <f t="shared" si="9"/>
        <v>9528</v>
      </c>
      <c r="I40" s="96">
        <f t="shared" si="9"/>
        <v>13350</v>
      </c>
      <c r="J40" s="93">
        <f t="shared" si="9"/>
        <v>9659</v>
      </c>
      <c r="K40" s="96">
        <f t="shared" si="9"/>
        <v>13068</v>
      </c>
      <c r="L40" s="81">
        <f t="shared" si="9"/>
        <v>112270</v>
      </c>
    </row>
    <row r="41" spans="1:11" ht="15.75">
      <c r="A41" s="3"/>
      <c r="B41" s="94"/>
      <c r="C41" s="97"/>
      <c r="D41" s="94"/>
      <c r="E41" s="97"/>
      <c r="F41" s="94"/>
      <c r="G41" s="97"/>
      <c r="H41" s="94"/>
      <c r="I41" s="97"/>
      <c r="J41" s="94"/>
      <c r="K41" s="97"/>
    </row>
    <row r="42" spans="1:12" ht="15.75">
      <c r="A42" s="3" t="s">
        <v>31</v>
      </c>
      <c r="B42" s="95">
        <f aca="true" t="shared" si="10" ref="B42:L42">B36/B40</f>
        <v>0.08631843197837212</v>
      </c>
      <c r="C42" s="98">
        <f t="shared" si="10"/>
        <v>0.05958512160228899</v>
      </c>
      <c r="D42" s="95">
        <f t="shared" si="10"/>
        <v>0.12708532568271172</v>
      </c>
      <c r="E42" s="98">
        <f t="shared" si="10"/>
        <v>0.034532489383863475</v>
      </c>
      <c r="F42" s="95">
        <f t="shared" si="10"/>
        <v>0.18328044643834118</v>
      </c>
      <c r="G42" s="98">
        <f t="shared" si="10"/>
        <v>0.0711693369921218</v>
      </c>
      <c r="H42" s="95">
        <f t="shared" si="10"/>
        <v>0.1896515533165407</v>
      </c>
      <c r="I42" s="98">
        <f t="shared" si="10"/>
        <v>0.10599250936329588</v>
      </c>
      <c r="J42" s="95">
        <f t="shared" si="10"/>
        <v>0.1962936121751734</v>
      </c>
      <c r="K42" s="98">
        <f t="shared" si="10"/>
        <v>0.03933272115090297</v>
      </c>
      <c r="L42" s="82">
        <f t="shared" si="10"/>
        <v>0.10211988955197292</v>
      </c>
    </row>
  </sheetData>
  <mergeCells count="2">
    <mergeCell ref="F26:F31"/>
    <mergeCell ref="H26:H31"/>
  </mergeCells>
  <printOptions horizontalCentered="1"/>
  <pageMargins left="0.5" right="0.5" top="0.5" bottom="0.5" header="0.5" footer="0.5"/>
  <pageSetup fitToHeight="1" fitToWidth="1"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85" zoomScaleNormal="85" workbookViewId="0" topLeftCell="A1">
      <pane xSplit="1" topLeftCell="B1" activePane="topRight" state="frozen"/>
      <selection pane="topLeft" activeCell="A2" sqref="A2"/>
      <selection pane="topRight" activeCell="D30" sqref="D30"/>
    </sheetView>
  </sheetViews>
  <sheetFormatPr defaultColWidth="11.00390625" defaultRowHeight="12.75"/>
  <cols>
    <col min="1" max="1" width="22.75390625" style="1" customWidth="1"/>
    <col min="2" max="3" width="11.375" style="1" customWidth="1"/>
    <col min="4" max="4" width="14.875" style="1" customWidth="1"/>
    <col min="5" max="16384" width="10.75390625" style="1" customWidth="1"/>
  </cols>
  <sheetData>
    <row r="1" spans="1:4" ht="22.5">
      <c r="A1" s="14" t="s">
        <v>0</v>
      </c>
      <c r="B1" s="99" t="s">
        <v>38</v>
      </c>
      <c r="C1" s="15"/>
      <c r="D1" s="16"/>
    </row>
    <row r="2" spans="1:4" ht="9.75" customHeight="1">
      <c r="A2" s="17"/>
      <c r="B2" s="77"/>
      <c r="C2" s="13"/>
      <c r="D2" s="18"/>
    </row>
    <row r="3" spans="1:4" ht="16.5" customHeight="1">
      <c r="A3" s="19" t="s">
        <v>1</v>
      </c>
      <c r="B3" s="34">
        <v>37451</v>
      </c>
      <c r="C3" s="34">
        <v>37451</v>
      </c>
      <c r="D3" s="74" t="s">
        <v>24</v>
      </c>
    </row>
    <row r="4" spans="1:9" ht="16.5" customHeight="1">
      <c r="A4" s="19" t="s">
        <v>2</v>
      </c>
      <c r="B4" s="8">
        <v>0.20069444444444443</v>
      </c>
      <c r="C4" s="8">
        <v>0.3888888888888889</v>
      </c>
      <c r="D4" s="36"/>
      <c r="G4" s="119" t="s">
        <v>39</v>
      </c>
      <c r="H4" s="119"/>
      <c r="I4" s="119"/>
    </row>
    <row r="5" spans="1:9" ht="16.5" customHeight="1">
      <c r="A5" s="19" t="s">
        <v>3</v>
      </c>
      <c r="B5" s="8">
        <v>0.3888888888888889</v>
      </c>
      <c r="C5" s="8">
        <v>0.40208333333333335</v>
      </c>
      <c r="D5" s="36"/>
      <c r="G5" s="101" t="s">
        <v>48</v>
      </c>
      <c r="H5" s="101" t="s">
        <v>49</v>
      </c>
      <c r="I5" s="101" t="s">
        <v>50</v>
      </c>
    </row>
    <row r="6" spans="1:6" ht="16.5" customHeight="1">
      <c r="A6" s="21"/>
      <c r="B6" s="5"/>
      <c r="C6" s="6"/>
      <c r="D6" s="22"/>
      <c r="F6" s="102" t="s">
        <v>40</v>
      </c>
    </row>
    <row r="7" spans="1:9" ht="16.5" customHeight="1">
      <c r="A7" s="19" t="s">
        <v>14</v>
      </c>
      <c r="B7" s="39">
        <v>0</v>
      </c>
      <c r="C7" s="7">
        <v>136.9</v>
      </c>
      <c r="D7" s="40"/>
      <c r="F7" s="1" t="s">
        <v>41</v>
      </c>
      <c r="G7" s="100">
        <v>79.4</v>
      </c>
      <c r="H7" s="100">
        <v>97</v>
      </c>
      <c r="I7" s="100">
        <v>97.7</v>
      </c>
    </row>
    <row r="8" spans="1:9" ht="16.5" customHeight="1">
      <c r="A8" s="19" t="s">
        <v>15</v>
      </c>
      <c r="B8" s="7">
        <v>136.9</v>
      </c>
      <c r="C8" s="7">
        <v>140.6</v>
      </c>
      <c r="D8" s="20"/>
      <c r="F8" s="1" t="s">
        <v>42</v>
      </c>
      <c r="G8" s="100">
        <v>88.6</v>
      </c>
      <c r="H8" s="100">
        <v>103.2</v>
      </c>
      <c r="I8" s="100">
        <v>103.1</v>
      </c>
    </row>
    <row r="9" spans="1:9" ht="16.5" customHeight="1">
      <c r="A9" s="21"/>
      <c r="B9" s="5"/>
      <c r="C9" s="5"/>
      <c r="D9" s="22"/>
      <c r="F9" s="1" t="s">
        <v>43</v>
      </c>
      <c r="G9" s="100">
        <v>86.2</v>
      </c>
      <c r="H9" s="100">
        <v>101.6</v>
      </c>
      <c r="I9" s="100">
        <v>100.9</v>
      </c>
    </row>
    <row r="10" spans="1:9" ht="16.5" customHeight="1">
      <c r="A10" s="19" t="s">
        <v>7</v>
      </c>
      <c r="B10" s="7">
        <v>0</v>
      </c>
      <c r="C10" s="7">
        <v>24214</v>
      </c>
      <c r="D10" s="20"/>
      <c r="F10" s="1" t="s">
        <v>44</v>
      </c>
      <c r="G10" s="100">
        <v>84.3</v>
      </c>
      <c r="H10" s="100">
        <v>100.3</v>
      </c>
      <c r="I10" s="100">
        <v>99.5</v>
      </c>
    </row>
    <row r="11" spans="1:9" ht="16.5" customHeight="1">
      <c r="A11" s="19" t="s">
        <v>6</v>
      </c>
      <c r="B11" s="7">
        <v>24214</v>
      </c>
      <c r="C11" s="7">
        <v>24937</v>
      </c>
      <c r="D11" s="20"/>
      <c r="G11" s="100"/>
      <c r="H11" s="100"/>
      <c r="I11" s="100"/>
    </row>
    <row r="12" spans="1:9" ht="16.5" customHeight="1">
      <c r="A12" s="21"/>
      <c r="B12" s="5"/>
      <c r="C12" s="5"/>
      <c r="D12" s="22"/>
      <c r="G12" s="101" t="s">
        <v>48</v>
      </c>
      <c r="H12" s="101" t="s">
        <v>49</v>
      </c>
      <c r="I12" s="101" t="s">
        <v>50</v>
      </c>
    </row>
    <row r="13" spans="1:6" ht="16.5" customHeight="1">
      <c r="A13" s="19" t="s">
        <v>4</v>
      </c>
      <c r="B13" s="9">
        <v>1</v>
      </c>
      <c r="C13" s="9">
        <v>0</v>
      </c>
      <c r="D13" s="37"/>
      <c r="F13" s="102" t="s">
        <v>59</v>
      </c>
    </row>
    <row r="14" spans="1:9" ht="16.5" customHeight="1">
      <c r="A14" s="19" t="s">
        <v>5</v>
      </c>
      <c r="B14" s="9">
        <v>0</v>
      </c>
      <c r="C14" s="9">
        <v>0</v>
      </c>
      <c r="D14" s="37"/>
      <c r="F14" s="1" t="s">
        <v>45</v>
      </c>
      <c r="G14" s="1">
        <v>14.4</v>
      </c>
      <c r="H14" s="1">
        <v>10.1</v>
      </c>
      <c r="I14" s="1">
        <v>9.8</v>
      </c>
    </row>
    <row r="15" spans="1:9" ht="16.5" customHeight="1">
      <c r="A15" s="21"/>
      <c r="B15" s="4"/>
      <c r="C15" s="4"/>
      <c r="D15" s="23"/>
      <c r="F15" s="1" t="s">
        <v>46</v>
      </c>
      <c r="G15" s="1">
        <v>14.5</v>
      </c>
      <c r="H15" s="1">
        <v>10.8</v>
      </c>
      <c r="I15" s="1">
        <v>10.6</v>
      </c>
    </row>
    <row r="16" spans="1:9" ht="16.5" customHeight="1">
      <c r="A16" s="24" t="s">
        <v>10</v>
      </c>
      <c r="B16" s="11">
        <f>((B5-B4)/0.04166666667)*60</f>
        <v>270.99999997832003</v>
      </c>
      <c r="C16" s="11">
        <f>((C5-C4)/0.04166666667)*60</f>
        <v>18.999999998480014</v>
      </c>
      <c r="D16" s="25">
        <f>SUM(B16:C16)</f>
        <v>289.99999997680004</v>
      </c>
      <c r="F16" s="1" t="s">
        <v>47</v>
      </c>
      <c r="G16" s="1">
        <v>14.5</v>
      </c>
      <c r="H16" s="1">
        <v>10.5</v>
      </c>
      <c r="I16" s="1">
        <v>10.3</v>
      </c>
    </row>
    <row r="17" spans="1:9" ht="16.5" customHeight="1">
      <c r="A17" s="26" t="s">
        <v>8</v>
      </c>
      <c r="B17" s="10">
        <f>B8-B7</f>
        <v>136.9</v>
      </c>
      <c r="C17" s="10">
        <f>C8-C7</f>
        <v>3.6999999999999886</v>
      </c>
      <c r="D17" s="27">
        <f>SUM(B17:C17)</f>
        <v>140.6</v>
      </c>
      <c r="F17" s="1" t="s">
        <v>51</v>
      </c>
      <c r="G17" s="100">
        <f>24*G16</f>
        <v>348</v>
      </c>
      <c r="H17" s="100">
        <f>24*H16</f>
        <v>252</v>
      </c>
      <c r="I17" s="100">
        <f>24*I16</f>
        <v>247.20000000000002</v>
      </c>
    </row>
    <row r="18" spans="1:9" ht="16.5" customHeight="1">
      <c r="A18" s="28" t="s">
        <v>12</v>
      </c>
      <c r="B18" s="12">
        <f>B11-B10</f>
        <v>24214</v>
      </c>
      <c r="C18" s="12">
        <f>C11-C10</f>
        <v>723</v>
      </c>
      <c r="D18" s="29">
        <f>SUM(B18:C18)</f>
        <v>24937</v>
      </c>
      <c r="F18" s="1" t="s">
        <v>52</v>
      </c>
      <c r="I18" s="1">
        <v>246.1</v>
      </c>
    </row>
    <row r="19" spans="1:9" ht="16.5" customHeight="1">
      <c r="A19" s="21" t="s">
        <v>20</v>
      </c>
      <c r="B19" s="45" t="s">
        <v>72</v>
      </c>
      <c r="C19" s="46" t="s">
        <v>73</v>
      </c>
      <c r="D19" s="58" t="s">
        <v>24</v>
      </c>
      <c r="F19" s="1" t="s">
        <v>60</v>
      </c>
      <c r="G19" s="1">
        <f>G15-G14</f>
        <v>0.09999999999999964</v>
      </c>
      <c r="H19" s="1">
        <f>H15-H14</f>
        <v>0.7000000000000011</v>
      </c>
      <c r="I19" s="1">
        <f>I15-I14</f>
        <v>0.7999999999999989</v>
      </c>
    </row>
    <row r="20" spans="1:9" s="2" customFormat="1" ht="16.5" customHeight="1">
      <c r="A20" s="41" t="s">
        <v>9</v>
      </c>
      <c r="B20" s="47">
        <f>B17/(B16/60)</f>
        <v>30.30996310205579</v>
      </c>
      <c r="C20" s="48">
        <f>C17/(C16/60)</f>
        <v>11.684210527250482</v>
      </c>
      <c r="D20" s="30">
        <f>D17/(D16/60)</f>
        <v>29.08965517474096</v>
      </c>
      <c r="F20" s="1"/>
      <c r="G20" s="1"/>
      <c r="H20" s="1"/>
      <c r="I20" s="1"/>
    </row>
    <row r="21" spans="1:9" s="2" customFormat="1" ht="16.5" customHeight="1">
      <c r="A21" s="42" t="s">
        <v>11</v>
      </c>
      <c r="B21" s="49">
        <f>B13-B14</f>
        <v>1</v>
      </c>
      <c r="C21" s="50">
        <f>C13-C14</f>
        <v>0</v>
      </c>
      <c r="D21" s="31">
        <f>SUM(B21:C21)</f>
        <v>1</v>
      </c>
      <c r="G21" s="103" t="s">
        <v>54</v>
      </c>
      <c r="H21" s="103" t="s">
        <v>55</v>
      </c>
      <c r="I21" s="102" t="s">
        <v>61</v>
      </c>
    </row>
    <row r="22" spans="1:6" s="2" customFormat="1" ht="16.5" customHeight="1">
      <c r="A22" s="42" t="s">
        <v>13</v>
      </c>
      <c r="B22" s="51">
        <f>B18/B17</f>
        <v>176.8736303871439</v>
      </c>
      <c r="C22" s="52">
        <f>C18/C17</f>
        <v>195.40540540540601</v>
      </c>
      <c r="D22" s="32">
        <f>D18/D17</f>
        <v>177.36130867709815</v>
      </c>
      <c r="F22" s="103" t="s">
        <v>53</v>
      </c>
    </row>
    <row r="23" spans="1:9" s="2" customFormat="1" ht="16.5" customHeight="1">
      <c r="A23" s="42" t="s">
        <v>36</v>
      </c>
      <c r="B23" s="63">
        <f>B17/B21</f>
        <v>136.9</v>
      </c>
      <c r="C23" s="52" t="e">
        <f>C17/C21</f>
        <v>#DIV/0!</v>
      </c>
      <c r="D23" s="32">
        <f>D17/D21</f>
        <v>140.6</v>
      </c>
      <c r="F23" s="2" t="s">
        <v>56</v>
      </c>
      <c r="G23" s="107">
        <v>0.231</v>
      </c>
      <c r="H23" s="2">
        <v>108.8</v>
      </c>
      <c r="I23" s="100">
        <f>H23*((1/(1-G23)))</f>
        <v>141.48244473342</v>
      </c>
    </row>
    <row r="24" spans="1:9" s="2" customFormat="1" ht="16.5" customHeight="1" thickBot="1">
      <c r="A24" s="43" t="s">
        <v>16</v>
      </c>
      <c r="B24" s="53">
        <f>(B18/1000)/(B21)</f>
        <v>24.214</v>
      </c>
      <c r="C24" s="54" t="e">
        <f>(C18/1000)/(C21)</f>
        <v>#DIV/0!</v>
      </c>
      <c r="D24" s="33">
        <f>(D18/1000)/(D21)</f>
        <v>24.937</v>
      </c>
      <c r="F24" s="2" t="s">
        <v>57</v>
      </c>
      <c r="G24" s="107">
        <v>0.172</v>
      </c>
      <c r="H24" s="2">
        <v>116.2</v>
      </c>
      <c r="I24" s="100">
        <f>H24*((1/(1-G24)))</f>
        <v>140.3381642512077</v>
      </c>
    </row>
    <row r="25" spans="1:9" ht="16.5" customHeight="1" thickBot="1">
      <c r="A25" s="38"/>
      <c r="B25" s="78"/>
      <c r="C25" s="56" t="s">
        <v>74</v>
      </c>
      <c r="D25" s="59"/>
      <c r="F25" s="2" t="s">
        <v>58</v>
      </c>
      <c r="G25" s="107">
        <v>0.008</v>
      </c>
      <c r="H25" s="2">
        <v>135.9</v>
      </c>
      <c r="I25" s="100">
        <f>H25*((1/(1-G25)))</f>
        <v>136.9959677419355</v>
      </c>
    </row>
    <row r="26" spans="1:4" ht="16.5" customHeight="1" thickBot="1">
      <c r="A26" s="44" t="s">
        <v>8</v>
      </c>
      <c r="B26" s="87"/>
      <c r="C26" s="57">
        <f>C17+B17</f>
        <v>140.6</v>
      </c>
      <c r="D26" s="79" t="s">
        <v>26</v>
      </c>
    </row>
    <row r="27" spans="1:9" ht="16.5" customHeight="1" thickBot="1">
      <c r="A27" s="42" t="s">
        <v>9</v>
      </c>
      <c r="B27" s="88"/>
      <c r="C27" s="52">
        <f>(B17+C17)/((B16+C16)/60)</f>
        <v>29.08965517474096</v>
      </c>
      <c r="D27" s="80">
        <f>D17/D21</f>
        <v>140.6</v>
      </c>
      <c r="G27" s="102" t="s">
        <v>54</v>
      </c>
      <c r="H27" s="102" t="s">
        <v>55</v>
      </c>
      <c r="I27" s="102" t="s">
        <v>61</v>
      </c>
    </row>
    <row r="28" spans="1:11" ht="16.5" customHeight="1" thickBot="1">
      <c r="A28" s="42" t="s">
        <v>11</v>
      </c>
      <c r="B28" s="88"/>
      <c r="C28" s="50">
        <f>B21+C21</f>
        <v>1</v>
      </c>
      <c r="D28" s="91"/>
      <c r="F28" s="102" t="s">
        <v>62</v>
      </c>
      <c r="J28" s="100"/>
      <c r="K28" s="100"/>
    </row>
    <row r="29" spans="1:11" ht="16.5" customHeight="1" thickBot="1">
      <c r="A29" s="42" t="s">
        <v>13</v>
      </c>
      <c r="B29" s="88"/>
      <c r="C29" s="52">
        <f>(B18+C18)/(B17+C17)</f>
        <v>177.36130867709815</v>
      </c>
      <c r="D29" s="90"/>
      <c r="F29" s="105" t="s">
        <v>63</v>
      </c>
      <c r="G29" s="106">
        <v>0.75</v>
      </c>
      <c r="H29" s="100">
        <v>35.6</v>
      </c>
      <c r="I29" s="100">
        <f aca="true" t="shared" si="0" ref="I29:I34">H29*((1/(1-G29)))</f>
        <v>142.4</v>
      </c>
      <c r="J29" s="100"/>
      <c r="K29" s="100"/>
    </row>
    <row r="30" spans="1:11" ht="16.5" customHeight="1" thickBot="1">
      <c r="A30" s="42" t="s">
        <v>36</v>
      </c>
      <c r="B30" s="88"/>
      <c r="C30" s="52">
        <f>C26/C28</f>
        <v>140.6</v>
      </c>
      <c r="D30" s="92"/>
      <c r="F30" s="104" t="s">
        <v>65</v>
      </c>
      <c r="G30" s="106">
        <v>0.666</v>
      </c>
      <c r="H30" s="100">
        <v>47.3</v>
      </c>
      <c r="I30" s="100">
        <f t="shared" si="0"/>
        <v>141.61676646706587</v>
      </c>
      <c r="J30" s="100"/>
      <c r="K30" s="100"/>
    </row>
    <row r="31" spans="1:11" ht="16.5" customHeight="1" thickBot="1">
      <c r="A31" s="43" t="s">
        <v>16</v>
      </c>
      <c r="B31" s="89"/>
      <c r="C31" s="54">
        <f>((B18+C18)/1000)/(B21+C21)</f>
        <v>24.937</v>
      </c>
      <c r="D31" s="33"/>
      <c r="F31" s="104" t="s">
        <v>64</v>
      </c>
      <c r="G31" s="106">
        <v>0.5</v>
      </c>
      <c r="H31" s="100">
        <v>71.1</v>
      </c>
      <c r="I31" s="100">
        <f t="shared" si="0"/>
        <v>142.2</v>
      </c>
      <c r="J31" s="100"/>
      <c r="K31" s="100"/>
    </row>
    <row r="32" spans="1:11" ht="15.75">
      <c r="A32" s="3"/>
      <c r="F32" s="104" t="s">
        <v>66</v>
      </c>
      <c r="G32" s="106">
        <v>0.333</v>
      </c>
      <c r="H32" s="100">
        <v>94.6</v>
      </c>
      <c r="I32" s="100">
        <f t="shared" si="0"/>
        <v>141.82908545727133</v>
      </c>
      <c r="J32" s="100"/>
      <c r="K32" s="100"/>
    </row>
    <row r="33" spans="1:11" ht="15.75">
      <c r="A33" s="3"/>
      <c r="F33" s="1" t="s">
        <v>68</v>
      </c>
      <c r="G33" s="82">
        <v>0.299</v>
      </c>
      <c r="H33" s="100">
        <v>100</v>
      </c>
      <c r="I33" s="100">
        <f t="shared" si="0"/>
        <v>142.6533523537803</v>
      </c>
      <c r="J33" s="100"/>
      <c r="K33" s="100"/>
    </row>
    <row r="34" spans="1:9" ht="15.75">
      <c r="A34" s="3" t="s">
        <v>27</v>
      </c>
      <c r="B34" s="93">
        <v>0</v>
      </c>
      <c r="C34" s="96">
        <v>8052</v>
      </c>
      <c r="D34" s="81">
        <f>SUM(B34:C34)</f>
        <v>8052</v>
      </c>
      <c r="F34" s="104" t="s">
        <v>67</v>
      </c>
      <c r="G34" s="106">
        <v>0.25</v>
      </c>
      <c r="H34" s="100">
        <v>106.1</v>
      </c>
      <c r="I34" s="100">
        <f t="shared" si="0"/>
        <v>141.46666666666664</v>
      </c>
    </row>
    <row r="35" spans="1:9" ht="15.75">
      <c r="A35" s="3" t="s">
        <v>28</v>
      </c>
      <c r="B35" s="93">
        <v>8052</v>
      </c>
      <c r="C35" s="96">
        <v>8157</v>
      </c>
      <c r="D35" s="81">
        <f>SUM(B35:C35)</f>
        <v>16209</v>
      </c>
      <c r="F35" s="1" t="s">
        <v>69</v>
      </c>
      <c r="I35" s="100">
        <f>AVERAGE(I29:I34)</f>
        <v>142.027645157464</v>
      </c>
    </row>
    <row r="36" spans="1:4" ht="15.75">
      <c r="A36" s="3" t="s">
        <v>24</v>
      </c>
      <c r="B36" s="93">
        <f>B35-B34</f>
        <v>8052</v>
      </c>
      <c r="C36" s="96">
        <f>C35-C34</f>
        <v>105</v>
      </c>
      <c r="D36" s="81">
        <f>D35-D34</f>
        <v>8157</v>
      </c>
    </row>
    <row r="37" spans="1:3" ht="15.75">
      <c r="A37" s="3"/>
      <c r="B37" s="93"/>
      <c r="C37" s="96"/>
    </row>
    <row r="38" spans="1:7" ht="15.75">
      <c r="A38" s="3" t="s">
        <v>29</v>
      </c>
      <c r="B38" s="93">
        <v>0</v>
      </c>
      <c r="C38" s="96">
        <v>32268</v>
      </c>
      <c r="D38" s="81">
        <f>SUM(B38:C38)</f>
        <v>32268</v>
      </c>
      <c r="F38" s="108" t="s">
        <v>70</v>
      </c>
      <c r="G38" s="1">
        <v>89655</v>
      </c>
    </row>
    <row r="39" spans="1:7" ht="15.75">
      <c r="A39" s="3" t="s">
        <v>30</v>
      </c>
      <c r="B39" s="93">
        <v>32268</v>
      </c>
      <c r="C39" s="96">
        <v>33096</v>
      </c>
      <c r="D39" s="81">
        <f>SUM(B39:C39)</f>
        <v>65364</v>
      </c>
      <c r="F39" s="108" t="s">
        <v>71</v>
      </c>
      <c r="G39" s="1">
        <v>89795</v>
      </c>
    </row>
    <row r="40" spans="1:4" ht="15.75">
      <c r="A40" s="3" t="s">
        <v>24</v>
      </c>
      <c r="B40" s="93">
        <f>B39-B38</f>
        <v>32268</v>
      </c>
      <c r="C40" s="96">
        <f>C39-C38</f>
        <v>828</v>
      </c>
      <c r="D40" s="81">
        <f>D39-D38</f>
        <v>33096</v>
      </c>
    </row>
    <row r="41" spans="1:3" ht="15.75">
      <c r="A41" s="3"/>
      <c r="B41" s="94"/>
      <c r="C41" s="97"/>
    </row>
    <row r="42" spans="1:4" ht="15.75">
      <c r="A42" s="3" t="s">
        <v>31</v>
      </c>
      <c r="B42" s="95">
        <f>B36/B40</f>
        <v>0.24953514317590184</v>
      </c>
      <c r="C42" s="98">
        <f>C36/C40</f>
        <v>0.12681159420289856</v>
      </c>
      <c r="D42" s="82">
        <f>D36/D40</f>
        <v>0.246464829586657</v>
      </c>
    </row>
  </sheetData>
  <mergeCells count="1">
    <mergeCell ref="G4:I4"/>
  </mergeCells>
  <printOptions horizontalCentered="1"/>
  <pageMargins left="0.5" right="0.5" top="1" bottom="1" header="0.5" footer="0.5"/>
  <pageSetup fitToHeight="1" fitToWidth="1"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Whitehead</dc:creator>
  <cp:keywords/>
  <dc:description/>
  <cp:lastModifiedBy>admin</cp:lastModifiedBy>
  <cp:lastPrinted>2007-01-30T05:39:23Z</cp:lastPrinted>
  <dcterms:created xsi:type="dcterms:W3CDTF">2006-02-27T05:08:18Z</dcterms:created>
  <cp:category/>
  <cp:version/>
  <cp:contentType/>
  <cp:contentStatus/>
</cp:coreProperties>
</file>